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730" windowHeight="9735"/>
  </bookViews>
  <sheets>
    <sheet name="SQUASH" sheetId="1" r:id="rId1"/>
    <sheet name="TENIS MESA" sheetId="2" r:id="rId2"/>
    <sheet name="Hoja7" sheetId="10" state="hidden" r:id="rId3"/>
    <sheet name="FUTBOL 5" sheetId="3" r:id="rId4"/>
    <sheet name="LEYENDA" sheetId="11" r:id="rId5"/>
    <sheet name="Hoja1" sheetId="4" state="hidden" r:id="rId6"/>
    <sheet name="Hoja2" sheetId="5" state="hidden" r:id="rId7"/>
    <sheet name="Hoja3" sheetId="6" state="hidden" r:id="rId8"/>
    <sheet name="Hoja4" sheetId="7" state="hidden" r:id="rId9"/>
    <sheet name="Hoja5" sheetId="8" state="hidden" r:id="rId10"/>
    <sheet name="Hoja6" sheetId="9" state="hidden" r:id="rId11"/>
    <sheet name="INFORME MENSUAL INGRESOS" sheetId="12" r:id="rId12"/>
    <sheet name="INGRESO DIARIO" sheetId="13" r:id="rId13"/>
    <sheet name="INGRESO MENSUAL" sheetId="14" r:id="rId14"/>
  </sheets>
  <externalReferences>
    <externalReference r:id="rId15"/>
  </externalReferences>
  <definedNames>
    <definedName name="ADULTO_MAYOR">LEYENDA!$F$22:$F$23</definedName>
    <definedName name="CLASIFICACION1">LEYENDA!$A$22:$A$31</definedName>
    <definedName name="Curso_squash">LEYENDA!$H$22:$H$26</definedName>
    <definedName name="egresado_ucm">LEYENDA!$C$22:$C$31</definedName>
    <definedName name="ESTUDIANTE_EXTERNO">LEYENDA!$B$22:$B$29</definedName>
    <definedName name="Estudiante_ucm">LEYENDA!$A$22:$A$31</definedName>
    <definedName name="Estudianteucm">LEYENDA!$A$22:$A$31</definedName>
    <definedName name="Particular_paquete">LEYENDA!$D$22:$D$33</definedName>
    <definedName name="TARIFAS_ESPECIALES">LEYENDA!$G$22:$G$24</definedName>
    <definedName name="Usuario">LEYENDA!$A$2:$A$18</definedName>
  </definedNames>
  <calcPr calcId="144525"/>
</workbook>
</file>

<file path=xl/calcChain.xml><?xml version="1.0" encoding="utf-8"?>
<calcChain xmlns="http://schemas.openxmlformats.org/spreadsheetml/2006/main">
  <c r="G12" i="14" l="1"/>
  <c r="A77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G35" i="3" l="1"/>
  <c r="AH35" i="3" s="1"/>
  <c r="AG34" i="3"/>
  <c r="AH34" i="3" s="1"/>
  <c r="AG33" i="3"/>
  <c r="AH33" i="3" s="1"/>
  <c r="AE35" i="3"/>
  <c r="AF35" i="3" s="1"/>
  <c r="AE34" i="3"/>
  <c r="AF34" i="3" s="1"/>
  <c r="AE33" i="3"/>
  <c r="AF33" i="3" s="1"/>
  <c r="A43" i="3" l="1"/>
  <c r="A9" i="2" l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9" i="1"/>
  <c r="A133" i="3"/>
  <c r="BG4" i="1" l="1"/>
  <c r="BH4" i="1" s="1"/>
  <c r="BE4" i="1"/>
  <c r="BF4" i="1" s="1"/>
  <c r="BC4" i="1"/>
  <c r="BD4" i="1" s="1"/>
  <c r="BA4" i="1"/>
  <c r="BB4" i="1" s="1"/>
  <c r="AY4" i="1"/>
  <c r="AZ4" i="1" s="1"/>
  <c r="X43" i="1"/>
  <c r="BI4" i="1" l="1"/>
  <c r="AQ26" i="1" s="1"/>
  <c r="AC35" i="3" l="1"/>
  <c r="AD35" i="3" s="1"/>
  <c r="AI35" i="3" s="1"/>
  <c r="AC34" i="3"/>
  <c r="AD34" i="3" s="1"/>
  <c r="AI34" i="3" s="1"/>
  <c r="AC33" i="3"/>
  <c r="AD33" i="3" s="1"/>
  <c r="AI33" i="3" s="1"/>
  <c r="O21" i="3"/>
  <c r="AF36" i="3" l="1"/>
  <c r="AD36" i="3"/>
  <c r="AI36" i="3" l="1"/>
  <c r="AQ25" i="3" s="1"/>
  <c r="AC35" i="1" l="1"/>
  <c r="AE34" i="2" l="1"/>
  <c r="AF34" i="2" s="1"/>
  <c r="AG34" i="2"/>
  <c r="AH34" i="2" s="1"/>
  <c r="AC27" i="2" l="1"/>
  <c r="AI34" i="2" l="1"/>
  <c r="M18" i="14" l="1"/>
  <c r="E12" i="14"/>
  <c r="L18" i="14"/>
  <c r="K18" i="14"/>
  <c r="J18" i="14"/>
  <c r="I18" i="14"/>
  <c r="I20" i="14" s="1"/>
  <c r="H18" i="14"/>
  <c r="H20" i="14" s="1"/>
  <c r="G18" i="14"/>
  <c r="G20" i="14" s="1"/>
  <c r="F18" i="14"/>
  <c r="E18" i="14"/>
  <c r="E20" i="14" s="1"/>
  <c r="D18" i="14"/>
  <c r="D20" i="14" s="1"/>
  <c r="C18" i="14"/>
  <c r="B18" i="14"/>
  <c r="N17" i="14"/>
  <c r="N16" i="14"/>
  <c r="N15" i="14"/>
  <c r="M12" i="14"/>
  <c r="L12" i="14"/>
  <c r="K12" i="14"/>
  <c r="J12" i="14"/>
  <c r="I12" i="14"/>
  <c r="H12" i="14"/>
  <c r="F12" i="14"/>
  <c r="D12" i="14"/>
  <c r="C12" i="14"/>
  <c r="B12" i="14"/>
  <c r="N11" i="14"/>
  <c r="N10" i="14"/>
  <c r="N9" i="14"/>
  <c r="F36" i="13"/>
  <c r="E30" i="12"/>
  <c r="E23" i="12"/>
  <c r="D23" i="12"/>
  <c r="L20" i="12"/>
  <c r="L22" i="12" s="1"/>
  <c r="N18" i="14" l="1"/>
  <c r="C20" i="14"/>
  <c r="K20" i="14"/>
  <c r="B20" i="14"/>
  <c r="F20" i="14"/>
  <c r="J20" i="14"/>
  <c r="N12" i="14"/>
  <c r="E32" i="12"/>
  <c r="N20" i="14" l="1"/>
  <c r="AC64" i="1"/>
  <c r="AB64" i="1"/>
  <c r="AA64" i="1"/>
  <c r="Z64" i="1"/>
  <c r="Y64" i="1"/>
  <c r="X64" i="1"/>
  <c r="W64" i="1"/>
  <c r="V64" i="1"/>
  <c r="U64" i="1"/>
  <c r="T64" i="1"/>
  <c r="S64" i="1"/>
  <c r="R64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S65" i="1" l="1"/>
  <c r="AR65" i="1"/>
  <c r="AQ65" i="1"/>
  <c r="AP65" i="1"/>
  <c r="AO65" i="1"/>
  <c r="AN65" i="1"/>
  <c r="AM65" i="1"/>
  <c r="AL65" i="1"/>
  <c r="AK65" i="1"/>
  <c r="AJ65" i="1"/>
  <c r="AI65" i="1"/>
  <c r="AH65" i="1"/>
  <c r="AC65" i="1"/>
  <c r="AB65" i="1"/>
  <c r="AA65" i="1"/>
  <c r="Z65" i="1"/>
  <c r="Y65" i="1"/>
  <c r="X65" i="1"/>
  <c r="W65" i="1"/>
  <c r="V65" i="1"/>
  <c r="U65" i="1"/>
  <c r="T65" i="1"/>
  <c r="S65" i="1"/>
  <c r="R65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C62" i="1"/>
  <c r="AB62" i="1"/>
  <c r="AA62" i="1"/>
  <c r="Z62" i="1"/>
  <c r="Y62" i="1"/>
  <c r="X62" i="1"/>
  <c r="W62" i="1"/>
  <c r="V62" i="1"/>
  <c r="U62" i="1"/>
  <c r="T62" i="1"/>
  <c r="S62" i="1"/>
  <c r="R62" i="1"/>
  <c r="AC61" i="1"/>
  <c r="AB61" i="1"/>
  <c r="AA61" i="1"/>
  <c r="Z61" i="1"/>
  <c r="Y61" i="1"/>
  <c r="X61" i="1"/>
  <c r="W61" i="1"/>
  <c r="V61" i="1"/>
  <c r="U61" i="1"/>
  <c r="T61" i="1"/>
  <c r="S61" i="1"/>
  <c r="R61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C59" i="1"/>
  <c r="AB59" i="1"/>
  <c r="AA59" i="1"/>
  <c r="Z59" i="1"/>
  <c r="Y59" i="1"/>
  <c r="X59" i="1"/>
  <c r="W59" i="1"/>
  <c r="V59" i="1"/>
  <c r="U59" i="1"/>
  <c r="T59" i="1"/>
  <c r="S59" i="1"/>
  <c r="R59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C52" i="1"/>
  <c r="AB52" i="1"/>
  <c r="AA52" i="1"/>
  <c r="Z52" i="1"/>
  <c r="Y52" i="1"/>
  <c r="X52" i="1"/>
  <c r="W52" i="1"/>
  <c r="V52" i="1"/>
  <c r="U52" i="1"/>
  <c r="T52" i="1"/>
  <c r="S52" i="1"/>
  <c r="R52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C51" i="1"/>
  <c r="AB51" i="1"/>
  <c r="AA51" i="1"/>
  <c r="Z51" i="1"/>
  <c r="Y51" i="1"/>
  <c r="X51" i="1"/>
  <c r="W51" i="1"/>
  <c r="V51" i="1"/>
  <c r="U51" i="1"/>
  <c r="T51" i="1"/>
  <c r="S51" i="1"/>
  <c r="R51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C49" i="1"/>
  <c r="AB49" i="1"/>
  <c r="AA49" i="1"/>
  <c r="Z49" i="1"/>
  <c r="Y49" i="1"/>
  <c r="X49" i="1"/>
  <c r="W49" i="1"/>
  <c r="V49" i="1"/>
  <c r="U49" i="1"/>
  <c r="T49" i="1"/>
  <c r="S49" i="1"/>
  <c r="R49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C47" i="1"/>
  <c r="AB47" i="1"/>
  <c r="AA47" i="1"/>
  <c r="Z47" i="1"/>
  <c r="Y47" i="1"/>
  <c r="X47" i="1"/>
  <c r="W47" i="1"/>
  <c r="V47" i="1"/>
  <c r="U47" i="1"/>
  <c r="T47" i="1"/>
  <c r="S47" i="1"/>
  <c r="R47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C46" i="1"/>
  <c r="AB46" i="1"/>
  <c r="AA46" i="1"/>
  <c r="Z46" i="1"/>
  <c r="Y46" i="1"/>
  <c r="X46" i="1"/>
  <c r="W46" i="1"/>
  <c r="V46" i="1"/>
  <c r="U46" i="1"/>
  <c r="T46" i="1"/>
  <c r="S46" i="1"/>
  <c r="R46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C45" i="1"/>
  <c r="AB45" i="1"/>
  <c r="AA45" i="1"/>
  <c r="Z45" i="1"/>
  <c r="Y45" i="1"/>
  <c r="X45" i="1"/>
  <c r="W45" i="1"/>
  <c r="V45" i="1"/>
  <c r="U45" i="1"/>
  <c r="T45" i="1"/>
  <c r="S45" i="1"/>
  <c r="R45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C43" i="1"/>
  <c r="AB43" i="1"/>
  <c r="AA43" i="1"/>
  <c r="Z43" i="1"/>
  <c r="Y43" i="1"/>
  <c r="W43" i="1"/>
  <c r="V43" i="1"/>
  <c r="U43" i="1"/>
  <c r="T43" i="1"/>
  <c r="S43" i="1"/>
  <c r="R43" i="1"/>
  <c r="R42" i="2"/>
  <c r="AC65" i="2"/>
  <c r="AB65" i="2"/>
  <c r="AA65" i="2"/>
  <c r="Z65" i="2"/>
  <c r="Y65" i="2"/>
  <c r="X65" i="2"/>
  <c r="W65" i="2"/>
  <c r="V65" i="2"/>
  <c r="U65" i="2"/>
  <c r="T65" i="2"/>
  <c r="S65" i="2"/>
  <c r="R65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C64" i="2"/>
  <c r="AB64" i="2"/>
  <c r="AA64" i="2"/>
  <c r="Z64" i="2"/>
  <c r="Y64" i="2"/>
  <c r="X64" i="2"/>
  <c r="W64" i="2"/>
  <c r="V64" i="2"/>
  <c r="U64" i="2"/>
  <c r="T64" i="2"/>
  <c r="S64" i="2"/>
  <c r="R64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C62" i="2"/>
  <c r="AB62" i="2"/>
  <c r="AA62" i="2"/>
  <c r="Z62" i="2"/>
  <c r="Y62" i="2"/>
  <c r="X62" i="2"/>
  <c r="W62" i="2"/>
  <c r="V62" i="2"/>
  <c r="U62" i="2"/>
  <c r="T62" i="2"/>
  <c r="S62" i="2"/>
  <c r="R62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C61" i="2"/>
  <c r="AB61" i="2"/>
  <c r="AA61" i="2"/>
  <c r="Z61" i="2"/>
  <c r="Y61" i="2"/>
  <c r="X61" i="2"/>
  <c r="W61" i="2"/>
  <c r="V61" i="2"/>
  <c r="U61" i="2"/>
  <c r="T61" i="2"/>
  <c r="S61" i="2"/>
  <c r="R61" i="2"/>
  <c r="AC59" i="2"/>
  <c r="AB59" i="2"/>
  <c r="AA59" i="2"/>
  <c r="Z59" i="2"/>
  <c r="Y59" i="2"/>
  <c r="X59" i="2"/>
  <c r="W59" i="2"/>
  <c r="V59" i="2"/>
  <c r="U59" i="2"/>
  <c r="T59" i="2"/>
  <c r="S59" i="2"/>
  <c r="R59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C51" i="2"/>
  <c r="AB51" i="2"/>
  <c r="AA51" i="2"/>
  <c r="Z51" i="2"/>
  <c r="Y51" i="2"/>
  <c r="X51" i="2"/>
  <c r="W51" i="2"/>
  <c r="V51" i="2"/>
  <c r="U51" i="2"/>
  <c r="T51" i="2"/>
  <c r="S51" i="2"/>
  <c r="R51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C50" i="2"/>
  <c r="AB50" i="2"/>
  <c r="AA50" i="2"/>
  <c r="Z50" i="2"/>
  <c r="Y50" i="2"/>
  <c r="X50" i="2"/>
  <c r="W50" i="2"/>
  <c r="V50" i="2"/>
  <c r="U50" i="2"/>
  <c r="T50" i="2"/>
  <c r="S50" i="2"/>
  <c r="R50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C49" i="2"/>
  <c r="AB49" i="2"/>
  <c r="AA49" i="2"/>
  <c r="Z49" i="2"/>
  <c r="Y49" i="2"/>
  <c r="X49" i="2"/>
  <c r="W49" i="2"/>
  <c r="V49" i="2"/>
  <c r="U49" i="2"/>
  <c r="T49" i="2"/>
  <c r="S49" i="2"/>
  <c r="R49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B48" i="2"/>
  <c r="AA48" i="2"/>
  <c r="Z48" i="2"/>
  <c r="X48" i="2"/>
  <c r="W48" i="2"/>
  <c r="V48" i="2"/>
  <c r="T48" i="2"/>
  <c r="S48" i="2"/>
  <c r="R48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C46" i="2"/>
  <c r="AB46" i="2"/>
  <c r="AA46" i="2"/>
  <c r="Z46" i="2"/>
  <c r="Y46" i="2"/>
  <c r="X46" i="2"/>
  <c r="W46" i="2"/>
  <c r="V46" i="2"/>
  <c r="U46" i="2"/>
  <c r="T46" i="2"/>
  <c r="S46" i="2"/>
  <c r="R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C45" i="2"/>
  <c r="AB45" i="2"/>
  <c r="AA45" i="2"/>
  <c r="Z45" i="2"/>
  <c r="Y45" i="2"/>
  <c r="X45" i="2"/>
  <c r="W45" i="2"/>
  <c r="V45" i="2"/>
  <c r="U45" i="2"/>
  <c r="T45" i="2"/>
  <c r="S45" i="2"/>
  <c r="R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C44" i="2"/>
  <c r="AB44" i="2"/>
  <c r="AA44" i="2"/>
  <c r="Z44" i="2"/>
  <c r="Y44" i="2"/>
  <c r="X44" i="2"/>
  <c r="W44" i="2"/>
  <c r="V44" i="2"/>
  <c r="U44" i="2"/>
  <c r="T44" i="2"/>
  <c r="S44" i="2"/>
  <c r="R44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C42" i="2"/>
  <c r="AB42" i="2"/>
  <c r="AA42" i="2"/>
  <c r="Z42" i="2"/>
  <c r="Y42" i="2"/>
  <c r="X42" i="2"/>
  <c r="W42" i="2"/>
  <c r="V42" i="2"/>
  <c r="U42" i="2"/>
  <c r="T42" i="2"/>
  <c r="S42" i="2"/>
  <c r="AC60" i="1"/>
  <c r="AC50" i="1"/>
  <c r="AC44" i="1"/>
  <c r="AA47" i="2"/>
  <c r="AA60" i="2"/>
  <c r="AQ58" i="2"/>
  <c r="AC48" i="2"/>
  <c r="AA58" i="2"/>
  <c r="AQ60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8" i="2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Q63" i="3"/>
  <c r="AR63" i="3"/>
  <c r="AP63" i="3"/>
  <c r="AN63" i="3"/>
  <c r="AL63" i="3"/>
  <c r="AJ63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C62" i="3"/>
  <c r="AB62" i="3"/>
  <c r="AA62" i="3"/>
  <c r="Z62" i="3"/>
  <c r="Y62" i="3"/>
  <c r="X62" i="3"/>
  <c r="W62" i="3"/>
  <c r="V62" i="3"/>
  <c r="U62" i="3"/>
  <c r="T62" i="3"/>
  <c r="S62" i="3"/>
  <c r="R62" i="3"/>
  <c r="AC52" i="3"/>
  <c r="AB52" i="3"/>
  <c r="AC51" i="3"/>
  <c r="AB51" i="3"/>
  <c r="AC47" i="3"/>
  <c r="AB47" i="3"/>
  <c r="AC42" i="3"/>
  <c r="AB42" i="3"/>
  <c r="AA52" i="3"/>
  <c r="Z52" i="3"/>
  <c r="AA51" i="3"/>
  <c r="Z51" i="3"/>
  <c r="AA47" i="3"/>
  <c r="Z47" i="3"/>
  <c r="AA42" i="3"/>
  <c r="Z42" i="3"/>
  <c r="Y52" i="3"/>
  <c r="X52" i="3"/>
  <c r="Y51" i="3"/>
  <c r="X51" i="3"/>
  <c r="Y47" i="3"/>
  <c r="X47" i="3"/>
  <c r="Y42" i="3"/>
  <c r="X42" i="3"/>
  <c r="W52" i="3"/>
  <c r="V52" i="3"/>
  <c r="W51" i="3"/>
  <c r="V51" i="3"/>
  <c r="W47" i="3"/>
  <c r="V47" i="3"/>
  <c r="W42" i="3"/>
  <c r="V42" i="3"/>
  <c r="U52" i="3"/>
  <c r="U51" i="3"/>
  <c r="U47" i="3"/>
  <c r="U42" i="3"/>
  <c r="S52" i="3"/>
  <c r="S51" i="3"/>
  <c r="S47" i="3"/>
  <c r="S42" i="3"/>
  <c r="R52" i="3"/>
  <c r="R51" i="3"/>
  <c r="T52" i="3"/>
  <c r="T51" i="3"/>
  <c r="T47" i="3"/>
  <c r="R47" i="3"/>
  <c r="T42" i="3"/>
  <c r="R42" i="3"/>
  <c r="AS59" i="2" l="1"/>
  <c r="AC48" i="1"/>
  <c r="AC53" i="1" s="1"/>
  <c r="T47" i="2"/>
  <c r="X47" i="2"/>
  <c r="AB47" i="2"/>
  <c r="T60" i="2"/>
  <c r="X60" i="2"/>
  <c r="AB60" i="2"/>
  <c r="AJ60" i="2"/>
  <c r="AN60" i="2"/>
  <c r="AR60" i="2"/>
  <c r="T58" i="2"/>
  <c r="X58" i="2"/>
  <c r="AB58" i="2"/>
  <c r="AJ58" i="2"/>
  <c r="AN58" i="2"/>
  <c r="AR58" i="2"/>
  <c r="V43" i="2"/>
  <c r="AC63" i="2"/>
  <c r="Y63" i="2"/>
  <c r="AB63" i="2"/>
  <c r="X63" i="2"/>
  <c r="T63" i="2"/>
  <c r="AA63" i="2"/>
  <c r="AA66" i="2" s="1"/>
  <c r="W63" i="2"/>
  <c r="S63" i="2"/>
  <c r="Z63" i="2"/>
  <c r="V63" i="2"/>
  <c r="R63" i="2"/>
  <c r="U63" i="2"/>
  <c r="U47" i="2"/>
  <c r="Y47" i="2"/>
  <c r="AC47" i="2"/>
  <c r="U48" i="2"/>
  <c r="Y48" i="2"/>
  <c r="U58" i="2"/>
  <c r="Y58" i="2"/>
  <c r="AC58" i="2"/>
  <c r="AK58" i="2"/>
  <c r="AO58" i="2"/>
  <c r="AS58" i="2"/>
  <c r="U60" i="2"/>
  <c r="Y60" i="2"/>
  <c r="AC60" i="2"/>
  <c r="AK60" i="2"/>
  <c r="AO60" i="2"/>
  <c r="AS60" i="2"/>
  <c r="R60" i="2"/>
  <c r="V60" i="2"/>
  <c r="Z60" i="2"/>
  <c r="AH60" i="2"/>
  <c r="AL60" i="2"/>
  <c r="AP60" i="2"/>
  <c r="R47" i="2"/>
  <c r="V47" i="2"/>
  <c r="Z47" i="2"/>
  <c r="R58" i="2"/>
  <c r="V58" i="2"/>
  <c r="Z58" i="2"/>
  <c r="AH58" i="2"/>
  <c r="AL58" i="2"/>
  <c r="AP58" i="2"/>
  <c r="S47" i="2"/>
  <c r="W47" i="2"/>
  <c r="S58" i="2"/>
  <c r="W58" i="2"/>
  <c r="AI58" i="2"/>
  <c r="AM58" i="2"/>
  <c r="S60" i="2"/>
  <c r="W60" i="2"/>
  <c r="AI60" i="2"/>
  <c r="AM60" i="2"/>
  <c r="R66" i="1"/>
  <c r="V66" i="1"/>
  <c r="Z66" i="1"/>
  <c r="AP61" i="1"/>
  <c r="S66" i="1"/>
  <c r="W66" i="1"/>
  <c r="AA66" i="1"/>
  <c r="T66" i="1"/>
  <c r="X66" i="1"/>
  <c r="AB66" i="1"/>
  <c r="AS60" i="1"/>
  <c r="U66" i="1"/>
  <c r="Y66" i="1"/>
  <c r="AC66" i="1"/>
  <c r="AP53" i="1"/>
  <c r="AP52" i="2"/>
  <c r="AR53" i="1"/>
  <c r="AH53" i="1"/>
  <c r="AN53" i="1"/>
  <c r="AD62" i="3"/>
  <c r="AL53" i="1"/>
  <c r="AU63" i="1"/>
  <c r="AU61" i="2"/>
  <c r="AU62" i="2"/>
  <c r="Z43" i="2"/>
  <c r="AJ52" i="2"/>
  <c r="AR52" i="2"/>
  <c r="X43" i="2"/>
  <c r="AL52" i="2"/>
  <c r="R43" i="2"/>
  <c r="R52" i="2" s="1"/>
  <c r="AC43" i="2"/>
  <c r="AC52" i="2" s="1"/>
  <c r="AN52" i="2"/>
  <c r="AJ53" i="1"/>
  <c r="AD64" i="2"/>
  <c r="AD62" i="2"/>
  <c r="AD65" i="2"/>
  <c r="T43" i="2"/>
  <c r="T52" i="2" s="1"/>
  <c r="AB43" i="2"/>
  <c r="AB52" i="2" s="1"/>
  <c r="AT62" i="2"/>
  <c r="AT63" i="2"/>
  <c r="AT64" i="2"/>
  <c r="AJ59" i="2"/>
  <c r="AP59" i="2"/>
  <c r="AL59" i="2"/>
  <c r="AQ59" i="2"/>
  <c r="AH59" i="2"/>
  <c r="AM59" i="2"/>
  <c r="AR59" i="2"/>
  <c r="AI59" i="2"/>
  <c r="AN59" i="2"/>
  <c r="S43" i="2"/>
  <c r="W43" i="2"/>
  <c r="AA43" i="2"/>
  <c r="AA52" i="2" s="1"/>
  <c r="N46" i="2"/>
  <c r="U43" i="2"/>
  <c r="Y43" i="2"/>
  <c r="AK59" i="2"/>
  <c r="AO59" i="2"/>
  <c r="N42" i="2"/>
  <c r="AD45" i="2"/>
  <c r="AD48" i="2"/>
  <c r="AD49" i="2"/>
  <c r="AD50" i="2"/>
  <c r="AD51" i="2"/>
  <c r="AD59" i="2"/>
  <c r="AD61" i="2"/>
  <c r="AT61" i="2"/>
  <c r="O42" i="2"/>
  <c r="O44" i="2"/>
  <c r="O46" i="2"/>
  <c r="AU63" i="2"/>
  <c r="AU64" i="2"/>
  <c r="N43" i="2"/>
  <c r="N45" i="2"/>
  <c r="N47" i="2"/>
  <c r="O43" i="2"/>
  <c r="O45" i="2"/>
  <c r="AT43" i="2"/>
  <c r="N44" i="2"/>
  <c r="AT47" i="2"/>
  <c r="AT48" i="2"/>
  <c r="AT49" i="2"/>
  <c r="AT50" i="2"/>
  <c r="AT51" i="2"/>
  <c r="AS61" i="1"/>
  <c r="AH61" i="1"/>
  <c r="AL61" i="1"/>
  <c r="R63" i="1"/>
  <c r="AT62" i="1"/>
  <c r="AJ60" i="1"/>
  <c r="AR60" i="1"/>
  <c r="AL60" i="1"/>
  <c r="AN60" i="1"/>
  <c r="AH60" i="1"/>
  <c r="AP60" i="1"/>
  <c r="AN61" i="1"/>
  <c r="AJ61" i="1"/>
  <c r="AR61" i="1"/>
  <c r="R48" i="1"/>
  <c r="V48" i="1"/>
  <c r="Z48" i="1"/>
  <c r="S48" i="1"/>
  <c r="W48" i="1"/>
  <c r="AA48" i="1"/>
  <c r="T48" i="1"/>
  <c r="X48" i="1"/>
  <c r="AB48" i="1"/>
  <c r="U48" i="1"/>
  <c r="Y48" i="1"/>
  <c r="R60" i="1"/>
  <c r="V60" i="1"/>
  <c r="Z60" i="1"/>
  <c r="S60" i="1"/>
  <c r="W60" i="1"/>
  <c r="AA60" i="1"/>
  <c r="T60" i="1"/>
  <c r="X60" i="1"/>
  <c r="AB60" i="1"/>
  <c r="U60" i="1"/>
  <c r="Y60" i="1"/>
  <c r="V63" i="1"/>
  <c r="Z63" i="1"/>
  <c r="S63" i="1"/>
  <c r="W63" i="1"/>
  <c r="AA63" i="1"/>
  <c r="AU48" i="1"/>
  <c r="AE49" i="1"/>
  <c r="AU49" i="1"/>
  <c r="AU50" i="1"/>
  <c r="AE51" i="1"/>
  <c r="AU51" i="1"/>
  <c r="AE52" i="1"/>
  <c r="AU52" i="1"/>
  <c r="AU59" i="1"/>
  <c r="AE62" i="1"/>
  <c r="AU62" i="1"/>
  <c r="T63" i="1"/>
  <c r="X63" i="1"/>
  <c r="AB63" i="1"/>
  <c r="U63" i="1"/>
  <c r="Y63" i="1"/>
  <c r="AC63" i="1"/>
  <c r="AT63" i="1"/>
  <c r="AT64" i="1"/>
  <c r="AD61" i="1"/>
  <c r="AT59" i="1"/>
  <c r="AE61" i="1"/>
  <c r="N45" i="1"/>
  <c r="N47" i="1"/>
  <c r="R50" i="1"/>
  <c r="V50" i="1"/>
  <c r="Z50" i="1"/>
  <c r="AD65" i="1"/>
  <c r="R44" i="1"/>
  <c r="V44" i="1"/>
  <c r="Z44" i="1"/>
  <c r="AT65" i="1"/>
  <c r="O43" i="1"/>
  <c r="AK53" i="1"/>
  <c r="AO53" i="1"/>
  <c r="AS53" i="1"/>
  <c r="S44" i="1"/>
  <c r="W44" i="1"/>
  <c r="AA44" i="1"/>
  <c r="AU44" i="1"/>
  <c r="O45" i="1"/>
  <c r="AE46" i="1"/>
  <c r="AU46" i="1"/>
  <c r="O47" i="1"/>
  <c r="S50" i="1"/>
  <c r="W50" i="1"/>
  <c r="AA50" i="1"/>
  <c r="AI60" i="1"/>
  <c r="AM60" i="1"/>
  <c r="AQ60" i="1"/>
  <c r="AI61" i="1"/>
  <c r="AM61" i="1"/>
  <c r="AQ61" i="1"/>
  <c r="AE64" i="1"/>
  <c r="AU64" i="1"/>
  <c r="AE65" i="1"/>
  <c r="AU65" i="1"/>
  <c r="N43" i="1"/>
  <c r="N44" i="1"/>
  <c r="T44" i="1"/>
  <c r="X44" i="1"/>
  <c r="AB44" i="1"/>
  <c r="AD45" i="1"/>
  <c r="AD47" i="1"/>
  <c r="T50" i="1"/>
  <c r="X50" i="1"/>
  <c r="AB50" i="1"/>
  <c r="AD43" i="1"/>
  <c r="AT45" i="1"/>
  <c r="N46" i="1"/>
  <c r="AT47" i="1"/>
  <c r="N48" i="1"/>
  <c r="O44" i="1"/>
  <c r="U44" i="1"/>
  <c r="Y44" i="1"/>
  <c r="O46" i="1"/>
  <c r="U50" i="1"/>
  <c r="Y50" i="1"/>
  <c r="AK60" i="1"/>
  <c r="AO60" i="1"/>
  <c r="AK61" i="1"/>
  <c r="AO61" i="1"/>
  <c r="AK52" i="2"/>
  <c r="AO52" i="2"/>
  <c r="AS52" i="2"/>
  <c r="AU43" i="2"/>
  <c r="AE45" i="2"/>
  <c r="AU45" i="2"/>
  <c r="AU47" i="2"/>
  <c r="AU48" i="2"/>
  <c r="AE49" i="2"/>
  <c r="AU49" i="2"/>
  <c r="AE50" i="2"/>
  <c r="AU50" i="2"/>
  <c r="AE51" i="2"/>
  <c r="AU51" i="2"/>
  <c r="AE59" i="2"/>
  <c r="AE61" i="2"/>
  <c r="AE62" i="2"/>
  <c r="AE64" i="2"/>
  <c r="AE65" i="2"/>
  <c r="AT45" i="2"/>
  <c r="AD44" i="2"/>
  <c r="AD46" i="2"/>
  <c r="AT42" i="2"/>
  <c r="AT44" i="2"/>
  <c r="AT46" i="2"/>
  <c r="AI52" i="2"/>
  <c r="AM52" i="2"/>
  <c r="AQ52" i="2"/>
  <c r="AE44" i="2"/>
  <c r="AU44" i="2"/>
  <c r="AE46" i="2"/>
  <c r="AU46" i="2"/>
  <c r="AD46" i="1"/>
  <c r="AD49" i="1"/>
  <c r="AD51" i="1"/>
  <c r="AD52" i="1"/>
  <c r="AD59" i="1"/>
  <c r="AD62" i="1"/>
  <c r="AD64" i="1"/>
  <c r="AT44" i="1"/>
  <c r="AT46" i="1"/>
  <c r="AT48" i="1"/>
  <c r="AT49" i="1"/>
  <c r="AT50" i="1"/>
  <c r="AT51" i="1"/>
  <c r="AT52" i="1"/>
  <c r="AI53" i="1"/>
  <c r="AM53" i="1"/>
  <c r="AQ53" i="1"/>
  <c r="AE45" i="1"/>
  <c r="AU45" i="1"/>
  <c r="AE47" i="1"/>
  <c r="AU47" i="1"/>
  <c r="AT43" i="1"/>
  <c r="AU43" i="1"/>
  <c r="AE43" i="1"/>
  <c r="AE59" i="1"/>
  <c r="AH52" i="2"/>
  <c r="AU42" i="2"/>
  <c r="AD42" i="2"/>
  <c r="AE42" i="2"/>
  <c r="AE51" i="3"/>
  <c r="AD51" i="3"/>
  <c r="AD52" i="3"/>
  <c r="AE47" i="3"/>
  <c r="AE62" i="3"/>
  <c r="AU42" i="3"/>
  <c r="AU45" i="3"/>
  <c r="AU46" i="3"/>
  <c r="AU48" i="3"/>
  <c r="AU50" i="3"/>
  <c r="AU52" i="3"/>
  <c r="AE52" i="3"/>
  <c r="AT45" i="3"/>
  <c r="AT46" i="3"/>
  <c r="AT48" i="3"/>
  <c r="AT49" i="3"/>
  <c r="AT50" i="3"/>
  <c r="AT51" i="3"/>
  <c r="AT52" i="3"/>
  <c r="AD47" i="3"/>
  <c r="AU49" i="3"/>
  <c r="AU51" i="3"/>
  <c r="AE42" i="3"/>
  <c r="AT42" i="3"/>
  <c r="AD42" i="3"/>
  <c r="X66" i="2" l="1"/>
  <c r="Z66" i="2"/>
  <c r="V52" i="2"/>
  <c r="AB66" i="2"/>
  <c r="X52" i="2"/>
  <c r="R66" i="2"/>
  <c r="AD47" i="2"/>
  <c r="T66" i="2"/>
  <c r="AT60" i="2"/>
  <c r="AD60" i="2"/>
  <c r="AE63" i="2"/>
  <c r="V66" i="2"/>
  <c r="R67" i="1"/>
  <c r="W53" i="1"/>
  <c r="AE47" i="2"/>
  <c r="U52" i="2"/>
  <c r="AE48" i="2"/>
  <c r="W52" i="2"/>
  <c r="AE58" i="2"/>
  <c r="AT58" i="2"/>
  <c r="AD58" i="2"/>
  <c r="Z52" i="2"/>
  <c r="AU58" i="2"/>
  <c r="AD66" i="1"/>
  <c r="AE60" i="2"/>
  <c r="Y52" i="2"/>
  <c r="S52" i="2"/>
  <c r="W66" i="2"/>
  <c r="S66" i="2"/>
  <c r="AU60" i="2"/>
  <c r="U66" i="2"/>
  <c r="AC66" i="2"/>
  <c r="Y66" i="2"/>
  <c r="AD63" i="2"/>
  <c r="AC67" i="1"/>
  <c r="AE66" i="1"/>
  <c r="X67" i="1"/>
  <c r="Z67" i="1"/>
  <c r="AD48" i="1"/>
  <c r="AT60" i="1"/>
  <c r="AD60" i="1"/>
  <c r="AT61" i="1"/>
  <c r="AD63" i="1"/>
  <c r="AA53" i="1"/>
  <c r="V67" i="1"/>
  <c r="S67" i="1"/>
  <c r="U67" i="1"/>
  <c r="AE48" i="1"/>
  <c r="AD43" i="2"/>
  <c r="AT59" i="2"/>
  <c r="AE43" i="2"/>
  <c r="AU59" i="2"/>
  <c r="AT52" i="2"/>
  <c r="N48" i="2"/>
  <c r="T67" i="1"/>
  <c r="AA67" i="1"/>
  <c r="Z53" i="1"/>
  <c r="W67" i="1"/>
  <c r="R53" i="1"/>
  <c r="S53" i="1"/>
  <c r="AB67" i="1"/>
  <c r="AE63" i="1"/>
  <c r="AE60" i="1"/>
  <c r="Y67" i="1"/>
  <c r="V53" i="1"/>
  <c r="U53" i="1"/>
  <c r="AB53" i="1"/>
  <c r="AD50" i="1"/>
  <c r="X53" i="1"/>
  <c r="Y53" i="1"/>
  <c r="AD44" i="1"/>
  <c r="AU60" i="1"/>
  <c r="AE50" i="1"/>
  <c r="AE44" i="1"/>
  <c r="N49" i="1"/>
  <c r="AU61" i="1"/>
  <c r="T53" i="1"/>
  <c r="AU52" i="2"/>
  <c r="AU53" i="1"/>
  <c r="AT53" i="1"/>
  <c r="AD52" i="2" l="1"/>
  <c r="AD66" i="2"/>
  <c r="AT65" i="2"/>
  <c r="AE66" i="2"/>
  <c r="AE52" i="2"/>
  <c r="AU65" i="2"/>
  <c r="AT66" i="1"/>
  <c r="AD67" i="1"/>
  <c r="AE67" i="1"/>
  <c r="AD53" i="1"/>
  <c r="AE53" i="1"/>
  <c r="AU66" i="1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4" i="3"/>
  <c r="A9" i="3"/>
  <c r="AC64" i="3" l="1"/>
  <c r="Y64" i="3"/>
  <c r="U64" i="3"/>
  <c r="AB64" i="3"/>
  <c r="X64" i="3"/>
  <c r="T64" i="3"/>
  <c r="AA64" i="3"/>
  <c r="W64" i="3"/>
  <c r="S64" i="3"/>
  <c r="Z64" i="3"/>
  <c r="V64" i="3"/>
  <c r="R64" i="3"/>
  <c r="AC48" i="3"/>
  <c r="Y48" i="3"/>
  <c r="R48" i="3"/>
  <c r="AA48" i="3"/>
  <c r="W48" i="3"/>
  <c r="U48" i="3"/>
  <c r="AB48" i="3"/>
  <c r="X48" i="3"/>
  <c r="Z48" i="3"/>
  <c r="V48" i="3"/>
  <c r="S48" i="3"/>
  <c r="T48" i="3"/>
  <c r="AB65" i="3"/>
  <c r="Z65" i="3"/>
  <c r="X65" i="3"/>
  <c r="V65" i="3"/>
  <c r="T65" i="3"/>
  <c r="R65" i="3"/>
  <c r="AC65" i="3"/>
  <c r="AA65" i="3"/>
  <c r="Y65" i="3"/>
  <c r="W65" i="3"/>
  <c r="U65" i="3"/>
  <c r="S65" i="3"/>
  <c r="AB45" i="3"/>
  <c r="Z45" i="3"/>
  <c r="X45" i="3"/>
  <c r="V45" i="3"/>
  <c r="T45" i="3"/>
  <c r="R45" i="3"/>
  <c r="S45" i="3"/>
  <c r="AC45" i="3"/>
  <c r="AA45" i="3"/>
  <c r="Y45" i="3"/>
  <c r="W45" i="3"/>
  <c r="U45" i="3"/>
  <c r="AB66" i="3"/>
  <c r="Z66" i="3"/>
  <c r="X66" i="3"/>
  <c r="V66" i="3"/>
  <c r="T66" i="3"/>
  <c r="R66" i="3"/>
  <c r="AC66" i="3"/>
  <c r="AA66" i="3"/>
  <c r="Y66" i="3"/>
  <c r="W66" i="3"/>
  <c r="U66" i="3"/>
  <c r="S66" i="3"/>
  <c r="AB63" i="3"/>
  <c r="Z63" i="3"/>
  <c r="X63" i="3"/>
  <c r="V63" i="3"/>
  <c r="T63" i="3"/>
  <c r="S63" i="3"/>
  <c r="R63" i="3"/>
  <c r="AC63" i="3"/>
  <c r="AA63" i="3"/>
  <c r="Y63" i="3"/>
  <c r="W63" i="3"/>
  <c r="U63" i="3"/>
  <c r="AS47" i="3"/>
  <c r="AO47" i="3"/>
  <c r="AK47" i="3"/>
  <c r="AR47" i="3"/>
  <c r="AN47" i="3"/>
  <c r="AJ47" i="3"/>
  <c r="AQ47" i="3"/>
  <c r="AM47" i="3"/>
  <c r="AI47" i="3"/>
  <c r="AL47" i="3"/>
  <c r="AH47" i="3"/>
  <c r="AP47" i="3"/>
  <c r="AQ65" i="3"/>
  <c r="AM65" i="3"/>
  <c r="AI65" i="3"/>
  <c r="AP65" i="3"/>
  <c r="AL65" i="3"/>
  <c r="AH65" i="3"/>
  <c r="AS65" i="3"/>
  <c r="AO65" i="3"/>
  <c r="AK65" i="3"/>
  <c r="AR65" i="3"/>
  <c r="AN65" i="3"/>
  <c r="AJ65" i="3"/>
  <c r="AA46" i="3"/>
  <c r="W46" i="3"/>
  <c r="Z46" i="3"/>
  <c r="V46" i="3"/>
  <c r="T46" i="3"/>
  <c r="AC46" i="3"/>
  <c r="Y46" i="3"/>
  <c r="U46" i="3"/>
  <c r="S46" i="3"/>
  <c r="R46" i="3"/>
  <c r="AB46" i="3"/>
  <c r="X46" i="3"/>
  <c r="AS59" i="3"/>
  <c r="AP59" i="3"/>
  <c r="AK59" i="3"/>
  <c r="AR59" i="3"/>
  <c r="AM59" i="3"/>
  <c r="AJ59" i="3"/>
  <c r="AO59" i="3"/>
  <c r="AL59" i="3"/>
  <c r="AI59" i="3"/>
  <c r="AQ59" i="3"/>
  <c r="AN59" i="3"/>
  <c r="AH59" i="3"/>
  <c r="AH63" i="3"/>
  <c r="AT63" i="3" s="1"/>
  <c r="AS63" i="3"/>
  <c r="AK63" i="3"/>
  <c r="AM63" i="3"/>
  <c r="AI63" i="3"/>
  <c r="AO63" i="3"/>
  <c r="AR64" i="3"/>
  <c r="AM64" i="3"/>
  <c r="AJ64" i="3"/>
  <c r="AO64" i="3"/>
  <c r="AL64" i="3"/>
  <c r="AI64" i="3"/>
  <c r="AQ64" i="3"/>
  <c r="AN64" i="3"/>
  <c r="AH64" i="3"/>
  <c r="AS64" i="3"/>
  <c r="AP64" i="3"/>
  <c r="AK64" i="3"/>
  <c r="AO60" i="3"/>
  <c r="AL60" i="3"/>
  <c r="AQ60" i="3"/>
  <c r="AN60" i="3"/>
  <c r="AI60" i="3"/>
  <c r="AH60" i="3"/>
  <c r="AS60" i="3"/>
  <c r="AP60" i="3"/>
  <c r="AK60" i="3"/>
  <c r="AR60" i="3"/>
  <c r="AM60" i="3"/>
  <c r="AJ60" i="3"/>
  <c r="AS61" i="3"/>
  <c r="AP61" i="3"/>
  <c r="AK61" i="3"/>
  <c r="AI61" i="3"/>
  <c r="AH61" i="3"/>
  <c r="AR61" i="3"/>
  <c r="AM61" i="3"/>
  <c r="AJ61" i="3"/>
  <c r="AO61" i="3"/>
  <c r="AL61" i="3"/>
  <c r="AQ61" i="3"/>
  <c r="AN61" i="3"/>
  <c r="AO62" i="3"/>
  <c r="AL62" i="3"/>
  <c r="AQ62" i="3"/>
  <c r="AN62" i="3"/>
  <c r="AS62" i="3"/>
  <c r="AP62" i="3"/>
  <c r="AK62" i="3"/>
  <c r="AR62" i="3"/>
  <c r="AM62" i="3"/>
  <c r="AJ62" i="3"/>
  <c r="AI62" i="3"/>
  <c r="AH62" i="3"/>
  <c r="O45" i="3"/>
  <c r="AS44" i="3"/>
  <c r="AS53" i="3" s="1"/>
  <c r="AO44" i="3"/>
  <c r="AK44" i="3"/>
  <c r="AR44" i="3"/>
  <c r="AN44" i="3"/>
  <c r="AN53" i="3" s="1"/>
  <c r="AJ44" i="3"/>
  <c r="AQ44" i="3"/>
  <c r="AM44" i="3"/>
  <c r="AI44" i="3"/>
  <c r="AP44" i="3"/>
  <c r="AL44" i="3"/>
  <c r="AL53" i="3" s="1"/>
  <c r="AH44" i="3"/>
  <c r="T60" i="3"/>
  <c r="R60" i="3"/>
  <c r="AC60" i="3"/>
  <c r="AA60" i="3"/>
  <c r="Y60" i="3"/>
  <c r="W60" i="3"/>
  <c r="S60" i="3"/>
  <c r="AB60" i="3"/>
  <c r="X60" i="3"/>
  <c r="Z60" i="3"/>
  <c r="V60" i="3"/>
  <c r="U60" i="3"/>
  <c r="R50" i="3"/>
  <c r="AA50" i="3"/>
  <c r="Y50" i="3"/>
  <c r="W50" i="3"/>
  <c r="U50" i="3"/>
  <c r="AC50" i="3"/>
  <c r="T50" i="3"/>
  <c r="AB50" i="3"/>
  <c r="Z50" i="3"/>
  <c r="X50" i="3"/>
  <c r="V50" i="3"/>
  <c r="S50" i="3"/>
  <c r="O46" i="3"/>
  <c r="AC61" i="3"/>
  <c r="AA61" i="3"/>
  <c r="Y61" i="3"/>
  <c r="W61" i="3"/>
  <c r="S61" i="3"/>
  <c r="Z61" i="3"/>
  <c r="X61" i="3"/>
  <c r="V61" i="3"/>
  <c r="U61" i="3"/>
  <c r="R61" i="3"/>
  <c r="AB61" i="3"/>
  <c r="T61" i="3"/>
  <c r="O42" i="3"/>
  <c r="O47" i="3"/>
  <c r="S44" i="3"/>
  <c r="AA44" i="3"/>
  <c r="Y44" i="3"/>
  <c r="W44" i="3"/>
  <c r="T44" i="3"/>
  <c r="AC44" i="3"/>
  <c r="U44" i="3"/>
  <c r="AB44" i="3"/>
  <c r="Z44" i="3"/>
  <c r="X44" i="3"/>
  <c r="V44" i="3"/>
  <c r="R44" i="3"/>
  <c r="O44" i="3"/>
  <c r="O48" i="3"/>
  <c r="AC59" i="3"/>
  <c r="AA59" i="3"/>
  <c r="Y59" i="3"/>
  <c r="W59" i="3"/>
  <c r="S59" i="3"/>
  <c r="Z59" i="3"/>
  <c r="X59" i="3"/>
  <c r="V59" i="3"/>
  <c r="U59" i="3"/>
  <c r="R59" i="3"/>
  <c r="AB59" i="3"/>
  <c r="T59" i="3"/>
  <c r="AB49" i="3"/>
  <c r="Z49" i="3"/>
  <c r="X49" i="3"/>
  <c r="V49" i="3"/>
  <c r="U49" i="3"/>
  <c r="AC49" i="3"/>
  <c r="AA49" i="3"/>
  <c r="Y49" i="3"/>
  <c r="W49" i="3"/>
  <c r="S49" i="3"/>
  <c r="R49" i="3"/>
  <c r="T49" i="3"/>
  <c r="N48" i="3"/>
  <c r="N45" i="3"/>
  <c r="N46" i="3"/>
  <c r="N42" i="3"/>
  <c r="N47" i="3"/>
  <c r="N44" i="3"/>
  <c r="AD35" i="1"/>
  <c r="AB35" i="1"/>
  <c r="AC33" i="2"/>
  <c r="AC34" i="2" s="1"/>
  <c r="AB67" i="3" l="1"/>
  <c r="AE48" i="3"/>
  <c r="AE65" i="3"/>
  <c r="AD64" i="3"/>
  <c r="AD48" i="3"/>
  <c r="AD65" i="3"/>
  <c r="AE64" i="3"/>
  <c r="AE45" i="3"/>
  <c r="AD45" i="3"/>
  <c r="AD66" i="3"/>
  <c r="AE66" i="3"/>
  <c r="AD63" i="3"/>
  <c r="AE63" i="3"/>
  <c r="AO53" i="3"/>
  <c r="AQ53" i="3"/>
  <c r="AK53" i="3"/>
  <c r="N49" i="3"/>
  <c r="V67" i="3"/>
  <c r="AJ53" i="3"/>
  <c r="AR53" i="3"/>
  <c r="AP53" i="3"/>
  <c r="AM53" i="3"/>
  <c r="W67" i="3"/>
  <c r="AA67" i="3"/>
  <c r="Z67" i="3"/>
  <c r="AT64" i="3"/>
  <c r="AT47" i="3"/>
  <c r="AU47" i="3"/>
  <c r="AU65" i="3"/>
  <c r="AD46" i="3"/>
  <c r="AT65" i="3"/>
  <c r="AE46" i="3"/>
  <c r="U67" i="3"/>
  <c r="T67" i="3"/>
  <c r="AT59" i="3"/>
  <c r="X67" i="3"/>
  <c r="Y67" i="3"/>
  <c r="AT60" i="3"/>
  <c r="AU64" i="3"/>
  <c r="AT61" i="3"/>
  <c r="AU60" i="3"/>
  <c r="AT62" i="3"/>
  <c r="AU61" i="3"/>
  <c r="AU62" i="3"/>
  <c r="AU63" i="3"/>
  <c r="AU59" i="3"/>
  <c r="AC67" i="3"/>
  <c r="AT44" i="3"/>
  <c r="AH53" i="3"/>
  <c r="AB53" i="3"/>
  <c r="AU44" i="3"/>
  <c r="AI53" i="3"/>
  <c r="Z53" i="3"/>
  <c r="T53" i="3"/>
  <c r="AE44" i="3"/>
  <c r="S53" i="3"/>
  <c r="AE50" i="3"/>
  <c r="AD49" i="3"/>
  <c r="W53" i="3"/>
  <c r="AD61" i="3"/>
  <c r="AE60" i="3"/>
  <c r="AE49" i="3"/>
  <c r="R67" i="3"/>
  <c r="AD59" i="3"/>
  <c r="AD44" i="3"/>
  <c r="R53" i="3"/>
  <c r="S67" i="3"/>
  <c r="AE59" i="3"/>
  <c r="V53" i="3"/>
  <c r="U53" i="3"/>
  <c r="Y53" i="3"/>
  <c r="O49" i="3"/>
  <c r="AE61" i="3"/>
  <c r="AD60" i="3"/>
  <c r="X53" i="3"/>
  <c r="AC53" i="3"/>
  <c r="AA53" i="3"/>
  <c r="AD50" i="3"/>
  <c r="AQ25" i="1"/>
  <c r="AE12" i="1"/>
  <c r="AC12" i="1"/>
  <c r="AB12" i="1"/>
  <c r="AE11" i="1"/>
  <c r="AC11" i="1"/>
  <c r="AB11" i="1"/>
  <c r="AE10" i="1"/>
  <c r="AC10" i="1"/>
  <c r="AB10" i="1"/>
  <c r="AE9" i="1"/>
  <c r="AC9" i="1"/>
  <c r="AB9" i="1"/>
  <c r="AE8" i="1"/>
  <c r="AC8" i="1"/>
  <c r="AB8" i="1"/>
  <c r="AE7" i="1"/>
  <c r="AC7" i="1"/>
  <c r="AB7" i="1"/>
  <c r="AE6" i="1"/>
  <c r="AC6" i="1"/>
  <c r="AB6" i="1"/>
  <c r="AE5" i="1"/>
  <c r="AC5" i="1"/>
  <c r="AB5" i="1"/>
  <c r="X12" i="1"/>
  <c r="V12" i="1"/>
  <c r="T12" i="1"/>
  <c r="X11" i="1"/>
  <c r="V11" i="1"/>
  <c r="T11" i="1"/>
  <c r="X10" i="1"/>
  <c r="V10" i="1"/>
  <c r="T10" i="1"/>
  <c r="X9" i="1"/>
  <c r="V9" i="1"/>
  <c r="T9" i="1"/>
  <c r="X8" i="1"/>
  <c r="V8" i="1"/>
  <c r="T8" i="1"/>
  <c r="X7" i="1"/>
  <c r="V7" i="1"/>
  <c r="T7" i="1"/>
  <c r="X6" i="1"/>
  <c r="V6" i="1"/>
  <c r="T6" i="1"/>
  <c r="X5" i="1"/>
  <c r="V5" i="1"/>
  <c r="T5" i="1"/>
  <c r="AT12" i="1"/>
  <c r="AR12" i="1"/>
  <c r="AQ12" i="1"/>
  <c r="AT11" i="1"/>
  <c r="AR11" i="1"/>
  <c r="AQ11" i="1"/>
  <c r="AT10" i="1"/>
  <c r="AR10" i="1"/>
  <c r="AQ10" i="1"/>
  <c r="AT9" i="1"/>
  <c r="AR9" i="1"/>
  <c r="AQ9" i="1"/>
  <c r="AT8" i="1"/>
  <c r="AR8" i="1"/>
  <c r="AQ8" i="1"/>
  <c r="AT7" i="1"/>
  <c r="AR7" i="1"/>
  <c r="AQ7" i="1"/>
  <c r="AT6" i="1"/>
  <c r="AR6" i="1"/>
  <c r="AQ6" i="1"/>
  <c r="AT5" i="1"/>
  <c r="AR5" i="1"/>
  <c r="AQ5" i="1"/>
  <c r="AB12" i="2"/>
  <c r="AB11" i="2"/>
  <c r="AB10" i="2"/>
  <c r="AB9" i="2"/>
  <c r="AB8" i="2"/>
  <c r="AB7" i="2"/>
  <c r="AB6" i="2"/>
  <c r="AB5" i="2"/>
  <c r="X12" i="2"/>
  <c r="V12" i="2"/>
  <c r="T12" i="2"/>
  <c r="X11" i="2"/>
  <c r="V11" i="2"/>
  <c r="T11" i="2"/>
  <c r="X10" i="2"/>
  <c r="V10" i="2"/>
  <c r="T10" i="2"/>
  <c r="X9" i="2"/>
  <c r="V9" i="2"/>
  <c r="T9" i="2"/>
  <c r="X8" i="2"/>
  <c r="V8" i="2"/>
  <c r="T8" i="2"/>
  <c r="X7" i="2"/>
  <c r="V7" i="2"/>
  <c r="T7" i="2"/>
  <c r="X6" i="2"/>
  <c r="V6" i="2"/>
  <c r="T6" i="2"/>
  <c r="X5" i="2"/>
  <c r="V5" i="2"/>
  <c r="T5" i="2"/>
  <c r="AR12" i="2"/>
  <c r="AR11" i="2"/>
  <c r="AR10" i="2"/>
  <c r="AR9" i="2"/>
  <c r="AR8" i="2"/>
  <c r="AR7" i="2"/>
  <c r="AR6" i="2"/>
  <c r="AR5" i="2"/>
  <c r="AT53" i="3" l="1"/>
  <c r="AU53" i="3"/>
  <c r="AT66" i="3"/>
  <c r="AU66" i="3"/>
  <c r="W6" i="2"/>
  <c r="AE67" i="3"/>
  <c r="AD67" i="3"/>
  <c r="AE53" i="3"/>
  <c r="AD53" i="3"/>
  <c r="AI28" i="3"/>
  <c r="AJ28" i="3" s="1"/>
  <c r="AI27" i="3"/>
  <c r="AJ27" i="3" s="1"/>
  <c r="AI26" i="3"/>
  <c r="AJ26" i="3" s="1"/>
  <c r="AI25" i="3"/>
  <c r="AJ25" i="3" s="1"/>
  <c r="AI24" i="3"/>
  <c r="AJ24" i="3" s="1"/>
  <c r="AI23" i="3"/>
  <c r="AJ23" i="3" s="1"/>
  <c r="AI22" i="3"/>
  <c r="AJ22" i="3" s="1"/>
  <c r="AI21" i="3"/>
  <c r="AJ21" i="3" s="1"/>
  <c r="AE12" i="3"/>
  <c r="AC12" i="3"/>
  <c r="AB12" i="3"/>
  <c r="AE11" i="3"/>
  <c r="AC11" i="3"/>
  <c r="AB11" i="3"/>
  <c r="AE10" i="3"/>
  <c r="AC10" i="3"/>
  <c r="AB10" i="3"/>
  <c r="AE9" i="3"/>
  <c r="AC9" i="3"/>
  <c r="AB9" i="3"/>
  <c r="AE8" i="3"/>
  <c r="AC8" i="3"/>
  <c r="AB8" i="3"/>
  <c r="AE7" i="3"/>
  <c r="AC7" i="3"/>
  <c r="AB7" i="3"/>
  <c r="AE6" i="3"/>
  <c r="AC6" i="3"/>
  <c r="AB6" i="3"/>
  <c r="AE5" i="3"/>
  <c r="AC5" i="3"/>
  <c r="AB5" i="3"/>
  <c r="AT12" i="3"/>
  <c r="AR12" i="3"/>
  <c r="AQ12" i="3"/>
  <c r="AT11" i="3"/>
  <c r="AR11" i="3"/>
  <c r="AQ11" i="3"/>
  <c r="AT10" i="3"/>
  <c r="AR10" i="3"/>
  <c r="AQ10" i="3"/>
  <c r="AT9" i="3"/>
  <c r="AR9" i="3"/>
  <c r="AQ9" i="3"/>
  <c r="AT8" i="3"/>
  <c r="AR8" i="3"/>
  <c r="AQ8" i="3"/>
  <c r="AT7" i="3"/>
  <c r="AR7" i="3"/>
  <c r="AQ7" i="3"/>
  <c r="AT6" i="3"/>
  <c r="AR6" i="3"/>
  <c r="AQ6" i="3"/>
  <c r="AT5" i="3"/>
  <c r="AR5" i="3"/>
  <c r="AQ5" i="3"/>
  <c r="X12" i="3"/>
  <c r="V12" i="3"/>
  <c r="T12" i="3"/>
  <c r="X11" i="3"/>
  <c r="V11" i="3"/>
  <c r="T11" i="3"/>
  <c r="X10" i="3"/>
  <c r="V10" i="3"/>
  <c r="T10" i="3"/>
  <c r="X9" i="3"/>
  <c r="V9" i="3"/>
  <c r="T9" i="3"/>
  <c r="X8" i="3"/>
  <c r="V8" i="3"/>
  <c r="T8" i="3"/>
  <c r="X7" i="3"/>
  <c r="V7" i="3"/>
  <c r="T7" i="3"/>
  <c r="X6" i="3"/>
  <c r="V6" i="3"/>
  <c r="T6" i="3"/>
  <c r="U6" i="3" s="1"/>
  <c r="X5" i="3"/>
  <c r="V5" i="3"/>
  <c r="T5" i="3"/>
  <c r="AJ29" i="3" l="1"/>
  <c r="AQ24" i="3" s="1"/>
  <c r="AE35" i="1" l="1"/>
  <c r="X37" i="1"/>
  <c r="Y37" i="1" s="1"/>
  <c r="X36" i="1"/>
  <c r="Y36" i="1" s="1"/>
  <c r="X35" i="1"/>
  <c r="Y35" i="1" s="1"/>
  <c r="V37" i="1"/>
  <c r="V36" i="1"/>
  <c r="V35" i="1"/>
  <c r="U37" i="1"/>
  <c r="U36" i="1"/>
  <c r="U35" i="1"/>
  <c r="N8" i="1"/>
  <c r="N6" i="1"/>
  <c r="Q37" i="1"/>
  <c r="R37" i="1" s="1"/>
  <c r="O37" i="1"/>
  <c r="N37" i="1"/>
  <c r="Q36" i="1"/>
  <c r="R36" i="1" s="1"/>
  <c r="O36" i="1"/>
  <c r="N36" i="1"/>
  <c r="Q35" i="1"/>
  <c r="R35" i="1" s="1"/>
  <c r="O35" i="1"/>
  <c r="N35" i="1"/>
  <c r="AE29" i="1"/>
  <c r="AF29" i="1" s="1"/>
  <c r="AC29" i="1"/>
  <c r="AB29" i="1"/>
  <c r="X29" i="1"/>
  <c r="Y29" i="1" s="1"/>
  <c r="V29" i="1"/>
  <c r="U29" i="1"/>
  <c r="Q29" i="1"/>
  <c r="R29" i="1" s="1"/>
  <c r="O29" i="1"/>
  <c r="N29" i="1"/>
  <c r="AE28" i="1"/>
  <c r="AF28" i="1" s="1"/>
  <c r="AC28" i="1"/>
  <c r="AB28" i="1"/>
  <c r="X28" i="1"/>
  <c r="Y28" i="1" s="1"/>
  <c r="V28" i="1"/>
  <c r="U28" i="1"/>
  <c r="Q28" i="1"/>
  <c r="R28" i="1" s="1"/>
  <c r="O28" i="1"/>
  <c r="N28" i="1"/>
  <c r="AE27" i="1"/>
  <c r="AF27" i="1" s="1"/>
  <c r="AC27" i="1"/>
  <c r="AB27" i="1"/>
  <c r="X27" i="1"/>
  <c r="Y27" i="1" s="1"/>
  <c r="V27" i="1"/>
  <c r="U27" i="1"/>
  <c r="Q27" i="1"/>
  <c r="R27" i="1" s="1"/>
  <c r="O27" i="1"/>
  <c r="N27" i="1"/>
  <c r="AE26" i="1"/>
  <c r="AF26" i="1" s="1"/>
  <c r="AC26" i="1"/>
  <c r="AB26" i="1"/>
  <c r="X26" i="1"/>
  <c r="Y26" i="1" s="1"/>
  <c r="V26" i="1"/>
  <c r="U26" i="1"/>
  <c r="Q26" i="1"/>
  <c r="R26" i="1" s="1"/>
  <c r="O26" i="1"/>
  <c r="N26" i="1"/>
  <c r="AE25" i="1"/>
  <c r="AF25" i="1" s="1"/>
  <c r="AC25" i="1"/>
  <c r="AB25" i="1"/>
  <c r="X25" i="1"/>
  <c r="Y25" i="1" s="1"/>
  <c r="V25" i="1"/>
  <c r="U25" i="1"/>
  <c r="Q25" i="1"/>
  <c r="R25" i="1" s="1"/>
  <c r="O25" i="1"/>
  <c r="N25" i="1"/>
  <c r="AE24" i="1"/>
  <c r="AF24" i="1" s="1"/>
  <c r="AC24" i="1"/>
  <c r="AB24" i="1"/>
  <c r="X24" i="1"/>
  <c r="Y24" i="1" s="1"/>
  <c r="V24" i="1"/>
  <c r="U24" i="1"/>
  <c r="Q24" i="1"/>
  <c r="R24" i="1" s="1"/>
  <c r="O24" i="1"/>
  <c r="N24" i="1"/>
  <c r="AE23" i="1"/>
  <c r="AF23" i="1" s="1"/>
  <c r="AC23" i="1"/>
  <c r="AB23" i="1"/>
  <c r="X23" i="1"/>
  <c r="Y23" i="1" s="1"/>
  <c r="V23" i="1"/>
  <c r="U23" i="1"/>
  <c r="Q23" i="1"/>
  <c r="R23" i="1" s="1"/>
  <c r="O23" i="1"/>
  <c r="N23" i="1"/>
  <c r="AE22" i="1"/>
  <c r="AF22" i="1" s="1"/>
  <c r="AC22" i="1"/>
  <c r="AB22" i="1"/>
  <c r="X22" i="1"/>
  <c r="Y22" i="1" s="1"/>
  <c r="V22" i="1"/>
  <c r="U22" i="1"/>
  <c r="Q22" i="1"/>
  <c r="R22" i="1" s="1"/>
  <c r="O22" i="1"/>
  <c r="N22" i="1"/>
  <c r="AU12" i="1"/>
  <c r="AM12" i="1"/>
  <c r="AN12" i="1" s="1"/>
  <c r="AK12" i="1"/>
  <c r="AL12" i="1" s="1"/>
  <c r="AI12" i="1"/>
  <c r="AJ12" i="1" s="1"/>
  <c r="AF12" i="1"/>
  <c r="Y12" i="1"/>
  <c r="W12" i="1"/>
  <c r="U12" i="1"/>
  <c r="Q12" i="1"/>
  <c r="R12" i="1" s="1"/>
  <c r="O12" i="1"/>
  <c r="N12" i="1"/>
  <c r="AU11" i="1"/>
  <c r="AM11" i="1"/>
  <c r="AN11" i="1" s="1"/>
  <c r="AK11" i="1"/>
  <c r="AL11" i="1" s="1"/>
  <c r="AI11" i="1"/>
  <c r="AJ11" i="1" s="1"/>
  <c r="AF11" i="1"/>
  <c r="Y11" i="1"/>
  <c r="W11" i="1"/>
  <c r="U11" i="1"/>
  <c r="Q11" i="1"/>
  <c r="R11" i="1" s="1"/>
  <c r="O11" i="1"/>
  <c r="N11" i="1"/>
  <c r="AU10" i="1"/>
  <c r="AM10" i="1"/>
  <c r="AN10" i="1" s="1"/>
  <c r="AK10" i="1"/>
  <c r="AL10" i="1" s="1"/>
  <c r="AI10" i="1"/>
  <c r="AJ10" i="1" s="1"/>
  <c r="AF10" i="1"/>
  <c r="Y10" i="1"/>
  <c r="W10" i="1"/>
  <c r="U10" i="1"/>
  <c r="Q10" i="1"/>
  <c r="R10" i="1" s="1"/>
  <c r="O10" i="1"/>
  <c r="N10" i="1"/>
  <c r="AU9" i="1"/>
  <c r="AM9" i="1"/>
  <c r="AN9" i="1" s="1"/>
  <c r="AK9" i="1"/>
  <c r="AL9" i="1" s="1"/>
  <c r="AI9" i="1"/>
  <c r="AJ9" i="1" s="1"/>
  <c r="AF9" i="1"/>
  <c r="Y9" i="1"/>
  <c r="W9" i="1"/>
  <c r="U9" i="1"/>
  <c r="Q9" i="1"/>
  <c r="R9" i="1" s="1"/>
  <c r="O9" i="1"/>
  <c r="N9" i="1"/>
  <c r="AU8" i="1"/>
  <c r="AM8" i="1"/>
  <c r="AN8" i="1" s="1"/>
  <c r="AK8" i="1"/>
  <c r="AL8" i="1" s="1"/>
  <c r="AI8" i="1"/>
  <c r="AJ8" i="1" s="1"/>
  <c r="AF8" i="1"/>
  <c r="Y8" i="1"/>
  <c r="W8" i="1"/>
  <c r="U8" i="1"/>
  <c r="Q8" i="1"/>
  <c r="R8" i="1" s="1"/>
  <c r="O8" i="1"/>
  <c r="P8" i="1" s="1"/>
  <c r="AU7" i="1"/>
  <c r="AM7" i="1"/>
  <c r="AN7" i="1" s="1"/>
  <c r="AK7" i="1"/>
  <c r="AL7" i="1" s="1"/>
  <c r="AI7" i="1"/>
  <c r="AJ7" i="1" s="1"/>
  <c r="AF7" i="1"/>
  <c r="Y7" i="1"/>
  <c r="W7" i="1"/>
  <c r="U7" i="1"/>
  <c r="Q7" i="1"/>
  <c r="R7" i="1" s="1"/>
  <c r="O7" i="1"/>
  <c r="N7" i="1"/>
  <c r="AU6" i="1"/>
  <c r="AM6" i="1"/>
  <c r="AN6" i="1" s="1"/>
  <c r="AK6" i="1"/>
  <c r="AL6" i="1" s="1"/>
  <c r="AI6" i="1"/>
  <c r="AJ6" i="1" s="1"/>
  <c r="AF6" i="1"/>
  <c r="Y6" i="1"/>
  <c r="W6" i="1"/>
  <c r="U6" i="1"/>
  <c r="Q6" i="1"/>
  <c r="R6" i="1" s="1"/>
  <c r="O6" i="1"/>
  <c r="P6" i="1" s="1"/>
  <c r="AU5" i="1"/>
  <c r="AM5" i="1"/>
  <c r="AN5" i="1" s="1"/>
  <c r="AK5" i="1"/>
  <c r="AL5" i="1" s="1"/>
  <c r="AI5" i="1"/>
  <c r="AJ5" i="1" s="1"/>
  <c r="AF5" i="1"/>
  <c r="Y5" i="1"/>
  <c r="W5" i="1"/>
  <c r="U5" i="1"/>
  <c r="Q5" i="1"/>
  <c r="R5" i="1" s="1"/>
  <c r="O5" i="1"/>
  <c r="N5" i="1"/>
  <c r="AI28" i="2"/>
  <c r="AJ28" i="2" s="1"/>
  <c r="AI27" i="2"/>
  <c r="AJ27" i="2" s="1"/>
  <c r="AI26" i="2"/>
  <c r="AJ26" i="2" s="1"/>
  <c r="AI25" i="2"/>
  <c r="AJ25" i="2" s="1"/>
  <c r="AI24" i="2"/>
  <c r="AJ24" i="2" s="1"/>
  <c r="AI23" i="2"/>
  <c r="AJ23" i="2" s="1"/>
  <c r="AI22" i="2"/>
  <c r="AJ22" i="2" s="1"/>
  <c r="AI21" i="2"/>
  <c r="AJ21" i="2" s="1"/>
  <c r="R30" i="1" l="1"/>
  <c r="AJ29" i="2"/>
  <c r="AQ24" i="2" s="1"/>
  <c r="AF35" i="1"/>
  <c r="AF38" i="1" s="1"/>
  <c r="P10" i="1"/>
  <c r="W22" i="1"/>
  <c r="Z22" i="1" s="1"/>
  <c r="P29" i="1"/>
  <c r="S29" i="1" s="1"/>
  <c r="AD5" i="1"/>
  <c r="AG5" i="1" s="1"/>
  <c r="AS6" i="1"/>
  <c r="AV6" i="1" s="1"/>
  <c r="P22" i="1"/>
  <c r="AD28" i="1"/>
  <c r="AG28" i="1" s="1"/>
  <c r="P35" i="1"/>
  <c r="S35" i="1" s="1"/>
  <c r="AD6" i="1"/>
  <c r="AG6" i="1" s="1"/>
  <c r="AS8" i="1"/>
  <c r="AV8" i="1" s="1"/>
  <c r="P12" i="1"/>
  <c r="AS12" i="1"/>
  <c r="AV12" i="1" s="1"/>
  <c r="AD29" i="1"/>
  <c r="AG29" i="1" s="1"/>
  <c r="AS11" i="1"/>
  <c r="AV11" i="1" s="1"/>
  <c r="AD22" i="1"/>
  <c r="AG22" i="1" s="1"/>
  <c r="W29" i="1"/>
  <c r="Z29" i="1" s="1"/>
  <c r="P36" i="1"/>
  <c r="S36" i="1" s="1"/>
  <c r="AD10" i="1"/>
  <c r="AG10" i="1" s="1"/>
  <c r="AD12" i="1"/>
  <c r="AG12" i="1" s="1"/>
  <c r="AD27" i="1"/>
  <c r="AG27" i="1" s="1"/>
  <c r="W23" i="1"/>
  <c r="Z23" i="1" s="1"/>
  <c r="AD24" i="1"/>
  <c r="AG24" i="1" s="1"/>
  <c r="P26" i="1"/>
  <c r="S26" i="1" s="1"/>
  <c r="P27" i="1"/>
  <c r="S27" i="1" s="1"/>
  <c r="W28" i="1"/>
  <c r="Z28" i="1" s="1"/>
  <c r="AO12" i="1"/>
  <c r="W35" i="1"/>
  <c r="Z35" i="1" s="1"/>
  <c r="P37" i="1"/>
  <c r="S37" i="1" s="1"/>
  <c r="W37" i="1"/>
  <c r="Z37" i="1" s="1"/>
  <c r="P5" i="1"/>
  <c r="P23" i="1"/>
  <c r="S23" i="1" s="1"/>
  <c r="W24" i="1"/>
  <c r="Z24" i="1" s="1"/>
  <c r="AD25" i="1"/>
  <c r="AG25" i="1" s="1"/>
  <c r="W27" i="1"/>
  <c r="Z27" i="1" s="1"/>
  <c r="P28" i="1"/>
  <c r="S28" i="1" s="1"/>
  <c r="AS5" i="1"/>
  <c r="P7" i="1"/>
  <c r="P9" i="1"/>
  <c r="P24" i="1"/>
  <c r="W25" i="1"/>
  <c r="Z25" i="1" s="1"/>
  <c r="AD26" i="1"/>
  <c r="AG26" i="1" s="1"/>
  <c r="W36" i="1"/>
  <c r="Z36" i="1" s="1"/>
  <c r="Y13" i="1"/>
  <c r="Y14" i="1" s="1"/>
  <c r="U14" i="1"/>
  <c r="AL13" i="1"/>
  <c r="AL14" i="1" s="1"/>
  <c r="AD7" i="1"/>
  <c r="AG7" i="1" s="1"/>
  <c r="AS7" i="1"/>
  <c r="AV7" i="1" s="1"/>
  <c r="AD8" i="1"/>
  <c r="AG8" i="1" s="1"/>
  <c r="AD9" i="1"/>
  <c r="AG9" i="1" s="1"/>
  <c r="AS9" i="1"/>
  <c r="AV9" i="1" s="1"/>
  <c r="AS10" i="1"/>
  <c r="AV10" i="1" s="1"/>
  <c r="P11" i="1"/>
  <c r="AD11" i="1"/>
  <c r="AG11" i="1" s="1"/>
  <c r="AD23" i="1"/>
  <c r="AG23" i="1" s="1"/>
  <c r="S24" i="1"/>
  <c r="P25" i="1"/>
  <c r="S25" i="1" s="1"/>
  <c r="W26" i="1"/>
  <c r="Z26" i="1" s="1"/>
  <c r="AU13" i="1"/>
  <c r="AU14" i="1" s="1"/>
  <c r="W13" i="1"/>
  <c r="W14" i="1" s="1"/>
  <c r="AN13" i="1"/>
  <c r="AO5" i="1"/>
  <c r="AO6" i="1"/>
  <c r="AO7" i="1"/>
  <c r="AO8" i="1"/>
  <c r="AO11" i="1"/>
  <c r="R13" i="1"/>
  <c r="AJ14" i="1"/>
  <c r="AO10" i="1"/>
  <c r="AO9" i="1"/>
  <c r="AF13" i="1"/>
  <c r="Z30" i="1" l="1"/>
  <c r="AN25" i="1" s="1"/>
  <c r="AG30" i="1"/>
  <c r="AN26" i="1" s="1"/>
  <c r="S22" i="1"/>
  <c r="P30" i="1"/>
  <c r="S30" i="1" s="1"/>
  <c r="AQ24" i="1" s="1"/>
  <c r="AS13" i="1"/>
  <c r="AS14" i="1" s="1"/>
  <c r="AV14" i="1" s="1"/>
  <c r="AN24" i="1" s="1"/>
  <c r="Z14" i="1"/>
  <c r="AN21" i="1" s="1"/>
  <c r="P13" i="1"/>
  <c r="R14" i="1" s="1"/>
  <c r="AN20" i="1" s="1"/>
  <c r="AV5" i="1"/>
  <c r="AD13" i="1"/>
  <c r="AD14" i="1" s="1"/>
  <c r="AF14" i="1"/>
  <c r="Z13" i="1"/>
  <c r="AQ20" i="1" s="1"/>
  <c r="S38" i="1"/>
  <c r="AN27" i="1" s="1"/>
  <c r="Z38" i="1"/>
  <c r="AN28" i="1" s="1"/>
  <c r="AN14" i="1"/>
  <c r="AO14" i="1" s="1"/>
  <c r="AN23" i="1" s="1"/>
  <c r="AO13" i="1"/>
  <c r="AQ22" i="1" s="1"/>
  <c r="AV13" i="1" l="1"/>
  <c r="AQ23" i="1" s="1"/>
  <c r="AG14" i="1"/>
  <c r="AN22" i="1" s="1"/>
  <c r="AN29" i="1" s="1"/>
  <c r="AG13" i="1"/>
  <c r="AQ21" i="1" s="1"/>
  <c r="AQ27" i="1" l="1"/>
  <c r="U34" i="2"/>
  <c r="N36" i="3"/>
  <c r="N35" i="3"/>
  <c r="N34" i="3"/>
  <c r="N36" i="2"/>
  <c r="N35" i="2"/>
  <c r="N34" i="2"/>
  <c r="AE28" i="2"/>
  <c r="AF28" i="2" s="1"/>
  <c r="AE27" i="2"/>
  <c r="AF27" i="2" s="1"/>
  <c r="AE26" i="2"/>
  <c r="AF26" i="2" s="1"/>
  <c r="AE25" i="2"/>
  <c r="AF25" i="2" s="1"/>
  <c r="AE24" i="2"/>
  <c r="AF24" i="2" s="1"/>
  <c r="AE23" i="2"/>
  <c r="AF23" i="2" s="1"/>
  <c r="AE22" i="2"/>
  <c r="AF22" i="2" s="1"/>
  <c r="AE21" i="2"/>
  <c r="AF21" i="2" s="1"/>
  <c r="AC28" i="2"/>
  <c r="AC26" i="2"/>
  <c r="AC25" i="2"/>
  <c r="AC24" i="2"/>
  <c r="AC23" i="2"/>
  <c r="AC22" i="2"/>
  <c r="AC21" i="2"/>
  <c r="AB28" i="2"/>
  <c r="AB27" i="2"/>
  <c r="AB26" i="2"/>
  <c r="AB25" i="2"/>
  <c r="AB24" i="2"/>
  <c r="AB23" i="2"/>
  <c r="AB22" i="2"/>
  <c r="AB21" i="2"/>
  <c r="X28" i="2"/>
  <c r="Y28" i="2" s="1"/>
  <c r="X27" i="2"/>
  <c r="Y27" i="2" s="1"/>
  <c r="X26" i="2"/>
  <c r="Y26" i="2" s="1"/>
  <c r="X25" i="2"/>
  <c r="Y25" i="2" s="1"/>
  <c r="X24" i="2"/>
  <c r="Y24" i="2" s="1"/>
  <c r="X23" i="2"/>
  <c r="Y23" i="2" s="1"/>
  <c r="X22" i="2"/>
  <c r="Y22" i="2" s="1"/>
  <c r="X21" i="2"/>
  <c r="Y21" i="2" s="1"/>
  <c r="V28" i="2"/>
  <c r="V27" i="2"/>
  <c r="V26" i="2"/>
  <c r="V25" i="2"/>
  <c r="V24" i="2"/>
  <c r="V23" i="2"/>
  <c r="V22" i="2"/>
  <c r="V21" i="2"/>
  <c r="U28" i="2"/>
  <c r="U27" i="2"/>
  <c r="U26" i="2"/>
  <c r="U25" i="2"/>
  <c r="U24" i="2"/>
  <c r="U23" i="2"/>
  <c r="U22" i="2"/>
  <c r="U21" i="2"/>
  <c r="Q28" i="2"/>
  <c r="R28" i="2" s="1"/>
  <c r="Q27" i="2"/>
  <c r="R27" i="2" s="1"/>
  <c r="Q26" i="2"/>
  <c r="R26" i="2" s="1"/>
  <c r="Q25" i="2"/>
  <c r="R25" i="2" s="1"/>
  <c r="Q24" i="2"/>
  <c r="R24" i="2" s="1"/>
  <c r="Q23" i="2"/>
  <c r="R23" i="2" s="1"/>
  <c r="Q22" i="2"/>
  <c r="R22" i="2" s="1"/>
  <c r="Q21" i="2"/>
  <c r="R21" i="2" s="1"/>
  <c r="O28" i="2"/>
  <c r="O27" i="2"/>
  <c r="O26" i="2"/>
  <c r="O25" i="2"/>
  <c r="O24" i="2"/>
  <c r="O23" i="2"/>
  <c r="O22" i="2"/>
  <c r="O21" i="2"/>
  <c r="N28" i="2"/>
  <c r="N27" i="2"/>
  <c r="N26" i="2"/>
  <c r="N25" i="2"/>
  <c r="N24" i="2"/>
  <c r="N23" i="2"/>
  <c r="N22" i="2"/>
  <c r="N21" i="2"/>
  <c r="AS12" i="2"/>
  <c r="AS11" i="2"/>
  <c r="AS10" i="2"/>
  <c r="AS9" i="2"/>
  <c r="AS8" i="2"/>
  <c r="AS7" i="2"/>
  <c r="AS6" i="2"/>
  <c r="AS5" i="2"/>
  <c r="AM12" i="2"/>
  <c r="AN12" i="2" s="1"/>
  <c r="AM11" i="2"/>
  <c r="AN11" i="2" s="1"/>
  <c r="AM10" i="2"/>
  <c r="AN10" i="2" s="1"/>
  <c r="AM9" i="2"/>
  <c r="AN9" i="2" s="1"/>
  <c r="AM8" i="2"/>
  <c r="AN8" i="2" s="1"/>
  <c r="AM7" i="2"/>
  <c r="AN7" i="2" s="1"/>
  <c r="AM6" i="2"/>
  <c r="AN6" i="2" s="1"/>
  <c r="AM5" i="2"/>
  <c r="AN5" i="2" s="1"/>
  <c r="AK12" i="2"/>
  <c r="AL12" i="2" s="1"/>
  <c r="AK11" i="2"/>
  <c r="AL11" i="2" s="1"/>
  <c r="AK10" i="2"/>
  <c r="AL10" i="2" s="1"/>
  <c r="AK9" i="2"/>
  <c r="AL9" i="2" s="1"/>
  <c r="AK8" i="2"/>
  <c r="AL8" i="2" s="1"/>
  <c r="AK7" i="2"/>
  <c r="AL7" i="2" s="1"/>
  <c r="AK6" i="2"/>
  <c r="AL6" i="2" s="1"/>
  <c r="AK5" i="2"/>
  <c r="AL5" i="2" s="1"/>
  <c r="AI5" i="3"/>
  <c r="AJ5" i="3" s="1"/>
  <c r="AI12" i="2"/>
  <c r="AJ12" i="2" s="1"/>
  <c r="AI11" i="2"/>
  <c r="AJ11" i="2" s="1"/>
  <c r="AI10" i="2"/>
  <c r="AJ10" i="2" s="1"/>
  <c r="AI9" i="2"/>
  <c r="AJ9" i="2" s="1"/>
  <c r="AI8" i="2"/>
  <c r="AJ8" i="2" s="1"/>
  <c r="AI7" i="2"/>
  <c r="AJ7" i="2" s="1"/>
  <c r="AI6" i="2"/>
  <c r="AJ6" i="2" s="1"/>
  <c r="AI5" i="2"/>
  <c r="AJ5" i="2" s="1"/>
  <c r="AD12" i="2"/>
  <c r="AD11" i="2"/>
  <c r="AD10" i="2"/>
  <c r="AD9" i="2"/>
  <c r="AD8" i="2"/>
  <c r="AD7" i="2"/>
  <c r="AD6" i="2"/>
  <c r="AD5" i="2"/>
  <c r="U12" i="2"/>
  <c r="U11" i="2"/>
  <c r="U10" i="2"/>
  <c r="U9" i="2"/>
  <c r="U8" i="2"/>
  <c r="U7" i="2"/>
  <c r="U6" i="2"/>
  <c r="U5" i="2"/>
  <c r="Q34" i="2"/>
  <c r="R34" i="2" s="1"/>
  <c r="Q35" i="2"/>
  <c r="R35" i="2" s="1"/>
  <c r="Q36" i="2"/>
  <c r="R36" i="2" s="1"/>
  <c r="O8" i="2"/>
  <c r="P8" i="2" s="1"/>
  <c r="O12" i="2"/>
  <c r="P12" i="2" s="1"/>
  <c r="O11" i="2"/>
  <c r="P11" i="2" s="1"/>
  <c r="O10" i="2"/>
  <c r="P10" i="2" s="1"/>
  <c r="O9" i="2"/>
  <c r="P9" i="2" s="1"/>
  <c r="O7" i="2"/>
  <c r="P7" i="2" s="1"/>
  <c r="O6" i="2"/>
  <c r="P6" i="2" s="1"/>
  <c r="O5" i="2"/>
  <c r="P5" i="2" s="1"/>
  <c r="X36" i="2"/>
  <c r="Y36" i="2" s="1"/>
  <c r="V36" i="2"/>
  <c r="U36" i="2"/>
  <c r="O36" i="2"/>
  <c r="X35" i="2"/>
  <c r="Y35" i="2" s="1"/>
  <c r="V35" i="2"/>
  <c r="U35" i="2"/>
  <c r="O35" i="2"/>
  <c r="X34" i="2"/>
  <c r="Y34" i="2" s="1"/>
  <c r="V34" i="2"/>
  <c r="O34" i="2"/>
  <c r="R12" i="2"/>
  <c r="R11" i="2"/>
  <c r="R10" i="2"/>
  <c r="R9" i="2"/>
  <c r="R8" i="2"/>
  <c r="R7" i="2"/>
  <c r="R6" i="2"/>
  <c r="R5" i="2"/>
  <c r="P23" i="2" l="1"/>
  <c r="S23" i="2" s="1"/>
  <c r="P24" i="2"/>
  <c r="S24" i="2" s="1"/>
  <c r="P21" i="2"/>
  <c r="S21" i="2" s="1"/>
  <c r="P22" i="2"/>
  <c r="S22" i="2" s="1"/>
  <c r="AD13" i="2"/>
  <c r="W7" i="2"/>
  <c r="W11" i="2"/>
  <c r="W8" i="2"/>
  <c r="W12" i="2"/>
  <c r="W5" i="2"/>
  <c r="W9" i="2"/>
  <c r="W10" i="2"/>
  <c r="P36" i="2"/>
  <c r="S36" i="2" s="1"/>
  <c r="W27" i="2"/>
  <c r="Z27" i="2" s="1"/>
  <c r="AD28" i="2"/>
  <c r="AG28" i="2" s="1"/>
  <c r="W21" i="2"/>
  <c r="Z21" i="2" s="1"/>
  <c r="W24" i="2"/>
  <c r="Z24" i="2" s="1"/>
  <c r="AD25" i="2"/>
  <c r="AG25" i="2" s="1"/>
  <c r="P27" i="2"/>
  <c r="S27" i="2" s="1"/>
  <c r="P35" i="2"/>
  <c r="S35" i="2" s="1"/>
  <c r="R13" i="2"/>
  <c r="AD22" i="2"/>
  <c r="AG22" i="2" s="1"/>
  <c r="W25" i="2"/>
  <c r="Z25" i="2" s="1"/>
  <c r="AD26" i="2"/>
  <c r="AG26" i="2" s="1"/>
  <c r="P28" i="2"/>
  <c r="S28" i="2" s="1"/>
  <c r="AO12" i="2"/>
  <c r="AD27" i="2"/>
  <c r="AG27" i="2" s="1"/>
  <c r="W35" i="2"/>
  <c r="Z35" i="2" s="1"/>
  <c r="AO7" i="2"/>
  <c r="AO8" i="2"/>
  <c r="AO11" i="2"/>
  <c r="W28" i="2"/>
  <c r="Z28" i="2" s="1"/>
  <c r="AD21" i="2"/>
  <c r="AG21" i="2" s="1"/>
  <c r="W22" i="2"/>
  <c r="Z22" i="2" s="1"/>
  <c r="AD23" i="2"/>
  <c r="AG23" i="2" s="1"/>
  <c r="P25" i="2"/>
  <c r="S25" i="2" s="1"/>
  <c r="W26" i="2"/>
  <c r="Z26" i="2" s="1"/>
  <c r="W34" i="2"/>
  <c r="Z34" i="2" s="1"/>
  <c r="W36" i="2"/>
  <c r="Z36" i="2" s="1"/>
  <c r="W23" i="2"/>
  <c r="Z23" i="2" s="1"/>
  <c r="AD24" i="2"/>
  <c r="AG24" i="2" s="1"/>
  <c r="P26" i="2"/>
  <c r="S26" i="2" s="1"/>
  <c r="P34" i="2"/>
  <c r="S34" i="2" s="1"/>
  <c r="AJ14" i="2"/>
  <c r="AU13" i="2"/>
  <c r="AU14" i="2" s="1"/>
  <c r="AO10" i="2"/>
  <c r="Y13" i="2"/>
  <c r="AN13" i="2"/>
  <c r="AO5" i="2"/>
  <c r="AO6" i="2"/>
  <c r="R29" i="2"/>
  <c r="U14" i="2"/>
  <c r="AO9" i="2"/>
  <c r="AL13" i="2"/>
  <c r="AL14" i="2" s="1"/>
  <c r="AF13" i="2"/>
  <c r="AI6" i="3"/>
  <c r="AJ6" i="3" s="1"/>
  <c r="AD5" i="3" l="1"/>
  <c r="AG29" i="2"/>
  <c r="AN25" i="2" s="1"/>
  <c r="W13" i="2"/>
  <c r="W14" i="2" s="1"/>
  <c r="P13" i="2"/>
  <c r="R14" i="2" s="1"/>
  <c r="AN19" i="2" s="1"/>
  <c r="Z29" i="2"/>
  <c r="AN24" i="2" s="1"/>
  <c r="AS13" i="2"/>
  <c r="P29" i="2"/>
  <c r="S29" i="2" s="1"/>
  <c r="AQ23" i="2" s="1"/>
  <c r="AD14" i="2"/>
  <c r="S37" i="2"/>
  <c r="AN26" i="2" s="1"/>
  <c r="AF14" i="2"/>
  <c r="AN14" i="2"/>
  <c r="AO14" i="2" s="1"/>
  <c r="AN22" i="2" s="1"/>
  <c r="AO13" i="2"/>
  <c r="AQ21" i="2" s="1"/>
  <c r="Z37" i="2"/>
  <c r="AN27" i="2" s="1"/>
  <c r="Y14" i="2"/>
  <c r="AD8" i="3"/>
  <c r="AD6" i="3"/>
  <c r="AF5" i="3"/>
  <c r="Z13" i="2" l="1"/>
  <c r="AQ19" i="2" s="1"/>
  <c r="Z14" i="2"/>
  <c r="AN20" i="2" s="1"/>
  <c r="AS14" i="2"/>
  <c r="AV14" i="2" s="1"/>
  <c r="AN23" i="2" s="1"/>
  <c r="AV13" i="2"/>
  <c r="AQ22" i="2" s="1"/>
  <c r="AG13" i="2"/>
  <c r="AQ20" i="2" s="1"/>
  <c r="AG14" i="2"/>
  <c r="AN21" i="2" s="1"/>
  <c r="X36" i="3"/>
  <c r="Y36" i="3" s="1"/>
  <c r="X35" i="3"/>
  <c r="Y35" i="3" s="1"/>
  <c r="X34" i="3"/>
  <c r="Y34" i="3" s="1"/>
  <c r="V36" i="3"/>
  <c r="V35" i="3"/>
  <c r="V34" i="3"/>
  <c r="U34" i="3"/>
  <c r="U36" i="3"/>
  <c r="U35" i="3"/>
  <c r="Q34" i="3"/>
  <c r="R34" i="3" s="1"/>
  <c r="Q36" i="3"/>
  <c r="R36" i="3" s="1"/>
  <c r="Q35" i="3"/>
  <c r="R35" i="3" s="1"/>
  <c r="O36" i="3"/>
  <c r="P36" i="3" s="1"/>
  <c r="O35" i="3"/>
  <c r="O34" i="3"/>
  <c r="P34" i="3" s="1"/>
  <c r="AE28" i="3"/>
  <c r="AF28" i="3" s="1"/>
  <c r="AE27" i="3"/>
  <c r="AF27" i="3" s="1"/>
  <c r="AE26" i="3"/>
  <c r="AF26" i="3" s="1"/>
  <c r="AE25" i="3"/>
  <c r="AF25" i="3" s="1"/>
  <c r="AE24" i="3"/>
  <c r="AF24" i="3" s="1"/>
  <c r="AE23" i="3"/>
  <c r="AF23" i="3" s="1"/>
  <c r="AE22" i="3"/>
  <c r="AF22" i="3" s="1"/>
  <c r="AE21" i="3"/>
  <c r="AF21" i="3" s="1"/>
  <c r="Y5" i="3"/>
  <c r="AC28" i="3"/>
  <c r="AC27" i="3"/>
  <c r="AC26" i="3"/>
  <c r="AC25" i="3"/>
  <c r="AC24" i="3"/>
  <c r="AC23" i="3"/>
  <c r="AC22" i="3"/>
  <c r="AC21" i="3"/>
  <c r="AB28" i="3"/>
  <c r="AB27" i="3"/>
  <c r="AB26" i="3"/>
  <c r="AB25" i="3"/>
  <c r="AB24" i="3"/>
  <c r="AB23" i="3"/>
  <c r="AB22" i="3"/>
  <c r="AB21" i="3"/>
  <c r="X28" i="3"/>
  <c r="Y28" i="3" s="1"/>
  <c r="X27" i="3"/>
  <c r="Y27" i="3" s="1"/>
  <c r="X26" i="3"/>
  <c r="Y26" i="3" s="1"/>
  <c r="X25" i="3"/>
  <c r="Y25" i="3" s="1"/>
  <c r="X24" i="3"/>
  <c r="Y24" i="3" s="1"/>
  <c r="X23" i="3"/>
  <c r="Y23" i="3" s="1"/>
  <c r="X22" i="3"/>
  <c r="Y22" i="3" s="1"/>
  <c r="X21" i="3"/>
  <c r="Y21" i="3" s="1"/>
  <c r="V28" i="3"/>
  <c r="V27" i="3"/>
  <c r="V26" i="3"/>
  <c r="V25" i="3"/>
  <c r="V24" i="3"/>
  <c r="V23" i="3"/>
  <c r="V22" i="3"/>
  <c r="V21" i="3"/>
  <c r="U28" i="3"/>
  <c r="U27" i="3"/>
  <c r="U26" i="3"/>
  <c r="U25" i="3"/>
  <c r="U24" i="3"/>
  <c r="U23" i="3"/>
  <c r="U22" i="3"/>
  <c r="U21" i="3"/>
  <c r="AQ25" i="2" l="1"/>
  <c r="AN28" i="2"/>
  <c r="P35" i="3"/>
  <c r="S35" i="3" s="1"/>
  <c r="W36" i="3"/>
  <c r="Z36" i="3" s="1"/>
  <c r="S36" i="3"/>
  <c r="S34" i="3"/>
  <c r="W34" i="3"/>
  <c r="Z34" i="3" s="1"/>
  <c r="W35" i="3"/>
  <c r="Z35" i="3" s="1"/>
  <c r="AD22" i="3"/>
  <c r="AG22" i="3" s="1"/>
  <c r="AD26" i="3"/>
  <c r="AG26" i="3" s="1"/>
  <c r="AD23" i="3"/>
  <c r="AG23" i="3" s="1"/>
  <c r="AD27" i="3"/>
  <c r="AG27" i="3" s="1"/>
  <c r="AD24" i="3"/>
  <c r="AG24" i="3" s="1"/>
  <c r="AD28" i="3"/>
  <c r="AG28" i="3" s="1"/>
  <c r="AD21" i="3"/>
  <c r="AG21" i="3" s="1"/>
  <c r="AD25" i="3"/>
  <c r="AG25" i="3" s="1"/>
  <c r="W24" i="3"/>
  <c r="Z24" i="3" s="1"/>
  <c r="W28" i="3"/>
  <c r="Z28" i="3" s="1"/>
  <c r="W21" i="3"/>
  <c r="Z21" i="3" s="1"/>
  <c r="W25" i="3"/>
  <c r="Z25" i="3" s="1"/>
  <c r="W22" i="3"/>
  <c r="Z22" i="3" s="1"/>
  <c r="W26" i="3"/>
  <c r="Z26" i="3" s="1"/>
  <c r="W23" i="3"/>
  <c r="Z23" i="3" s="1"/>
  <c r="W27" i="3"/>
  <c r="Z27" i="3" s="1"/>
  <c r="S37" i="3" l="1"/>
  <c r="AN26" i="3" s="1"/>
  <c r="Z37" i="3"/>
  <c r="AN27" i="3" s="1"/>
  <c r="Z29" i="3"/>
  <c r="AN24" i="3" s="1"/>
  <c r="AG29" i="3"/>
  <c r="AN25" i="3" s="1"/>
  <c r="Q28" i="3"/>
  <c r="R28" i="3" s="1"/>
  <c r="Q27" i="3"/>
  <c r="R27" i="3" s="1"/>
  <c r="Q26" i="3"/>
  <c r="R26" i="3" s="1"/>
  <c r="Q25" i="3"/>
  <c r="R25" i="3" s="1"/>
  <c r="Q24" i="3"/>
  <c r="R24" i="3" s="1"/>
  <c r="Q23" i="3"/>
  <c r="R23" i="3" s="1"/>
  <c r="Q22" i="3"/>
  <c r="R22" i="3" s="1"/>
  <c r="Q21" i="3"/>
  <c r="R21" i="3" s="1"/>
  <c r="O28" i="3"/>
  <c r="O27" i="3"/>
  <c r="O26" i="3"/>
  <c r="O25" i="3"/>
  <c r="O24" i="3"/>
  <c r="O23" i="3"/>
  <c r="O22" i="3"/>
  <c r="N28" i="3"/>
  <c r="N27" i="3"/>
  <c r="N26" i="3"/>
  <c r="N25" i="3"/>
  <c r="N24" i="3"/>
  <c r="N23" i="3"/>
  <c r="N22" i="3"/>
  <c r="N21" i="3"/>
  <c r="AU12" i="3"/>
  <c r="AU11" i="3"/>
  <c r="AU10" i="3"/>
  <c r="AU9" i="3"/>
  <c r="AU8" i="3"/>
  <c r="AU7" i="3"/>
  <c r="AU6" i="3"/>
  <c r="AU5" i="3"/>
  <c r="AS12" i="3"/>
  <c r="AS11" i="3"/>
  <c r="AS10" i="3"/>
  <c r="AS9" i="3"/>
  <c r="AS8" i="3"/>
  <c r="AS7" i="3"/>
  <c r="AS6" i="3"/>
  <c r="AS5" i="3"/>
  <c r="AM12" i="3"/>
  <c r="AN12" i="3" s="1"/>
  <c r="AM11" i="3"/>
  <c r="AN11" i="3" s="1"/>
  <c r="AM10" i="3"/>
  <c r="AN10" i="3" s="1"/>
  <c r="AM9" i="3"/>
  <c r="AN9" i="3" s="1"/>
  <c r="AM8" i="3"/>
  <c r="AN8" i="3" s="1"/>
  <c r="AM7" i="3"/>
  <c r="AN7" i="3" s="1"/>
  <c r="AM6" i="3"/>
  <c r="AN6" i="3" s="1"/>
  <c r="AM5" i="3"/>
  <c r="AN5" i="3" s="1"/>
  <c r="AK12" i="3"/>
  <c r="AL12" i="3" s="1"/>
  <c r="AK11" i="3"/>
  <c r="AL11" i="3" s="1"/>
  <c r="AK10" i="3"/>
  <c r="AL10" i="3" s="1"/>
  <c r="AK9" i="3"/>
  <c r="AL9" i="3" s="1"/>
  <c r="AK8" i="3"/>
  <c r="AL8" i="3" s="1"/>
  <c r="AK7" i="3"/>
  <c r="AL7" i="3" s="1"/>
  <c r="AK6" i="3"/>
  <c r="AL6" i="3" s="1"/>
  <c r="AK5" i="3"/>
  <c r="AL5" i="3" s="1"/>
  <c r="AI12" i="3"/>
  <c r="AJ12" i="3" s="1"/>
  <c r="AI11" i="3"/>
  <c r="AJ11" i="3" s="1"/>
  <c r="AI10" i="3"/>
  <c r="AJ10" i="3" s="1"/>
  <c r="AI9" i="3"/>
  <c r="AJ9" i="3" s="1"/>
  <c r="AI8" i="3"/>
  <c r="AJ8" i="3" s="1"/>
  <c r="AI7" i="3"/>
  <c r="AJ7" i="3" s="1"/>
  <c r="P21" i="3" l="1"/>
  <c r="S21" i="3" s="1"/>
  <c r="AJ14" i="3"/>
  <c r="AO5" i="3"/>
  <c r="P24" i="3"/>
  <c r="S24" i="3" s="1"/>
  <c r="P28" i="3"/>
  <c r="S28" i="3" s="1"/>
  <c r="AS13" i="3"/>
  <c r="AS14" i="3" s="1"/>
  <c r="P25" i="3"/>
  <c r="S25" i="3" s="1"/>
  <c r="P22" i="3"/>
  <c r="S22" i="3" s="1"/>
  <c r="P26" i="3"/>
  <c r="S26" i="3" s="1"/>
  <c r="P23" i="3"/>
  <c r="S23" i="3" s="1"/>
  <c r="P27" i="3"/>
  <c r="S27" i="3" s="1"/>
  <c r="AV5" i="3"/>
  <c r="AV9" i="3"/>
  <c r="R29" i="3"/>
  <c r="AV6" i="3"/>
  <c r="AV10" i="3"/>
  <c r="AV7" i="3"/>
  <c r="AV11" i="3"/>
  <c r="AV8" i="3"/>
  <c r="AV12" i="3"/>
  <c r="AU13" i="3"/>
  <c r="AU14" i="3" s="1"/>
  <c r="AO6" i="3"/>
  <c r="AO10" i="3"/>
  <c r="AO7" i="3"/>
  <c r="AO11" i="3"/>
  <c r="AO8" i="3"/>
  <c r="AO12" i="3"/>
  <c r="AL13" i="3"/>
  <c r="AL14" i="3" s="1"/>
  <c r="AN13" i="3"/>
  <c r="AN14" i="3" s="1"/>
  <c r="AO9" i="3"/>
  <c r="AF12" i="3"/>
  <c r="AF11" i="3"/>
  <c r="AF10" i="3"/>
  <c r="AF9" i="3"/>
  <c r="AF8" i="3"/>
  <c r="AF7" i="3"/>
  <c r="AF6" i="3"/>
  <c r="AD11" i="3"/>
  <c r="Y12" i="3"/>
  <c r="Y11" i="3"/>
  <c r="Y10" i="3"/>
  <c r="Y9" i="3"/>
  <c r="Y8" i="3"/>
  <c r="Y7" i="3"/>
  <c r="Y6" i="3"/>
  <c r="W12" i="3"/>
  <c r="W11" i="3"/>
  <c r="W10" i="3"/>
  <c r="W9" i="3"/>
  <c r="W8" i="3"/>
  <c r="W7" i="3"/>
  <c r="W6" i="3"/>
  <c r="W5" i="3"/>
  <c r="U12" i="3"/>
  <c r="U11" i="3"/>
  <c r="U10" i="3"/>
  <c r="U9" i="3"/>
  <c r="U8" i="3"/>
  <c r="U7" i="3"/>
  <c r="U5" i="3"/>
  <c r="AV13" i="3" l="1"/>
  <c r="AQ22" i="3" s="1"/>
  <c r="AO13" i="3"/>
  <c r="AQ21" i="3" s="1"/>
  <c r="AV14" i="3"/>
  <c r="AN23" i="3" s="1"/>
  <c r="P29" i="3"/>
  <c r="S29" i="3" s="1"/>
  <c r="AQ23" i="3" s="1"/>
  <c r="AO14" i="3"/>
  <c r="AN22" i="3" s="1"/>
  <c r="AD9" i="3"/>
  <c r="AG9" i="3" s="1"/>
  <c r="AG6" i="3"/>
  <c r="AD10" i="3"/>
  <c r="AG10" i="3" s="1"/>
  <c r="AD7" i="3"/>
  <c r="AG7" i="3" s="1"/>
  <c r="AG8" i="3"/>
  <c r="AD12" i="3"/>
  <c r="AG12" i="3" s="1"/>
  <c r="AG11" i="3"/>
  <c r="AF13" i="3"/>
  <c r="AF14" i="3" s="1"/>
  <c r="U14" i="3"/>
  <c r="W13" i="3"/>
  <c r="W14" i="3" s="1"/>
  <c r="Y13" i="3"/>
  <c r="Q12" i="3"/>
  <c r="R12" i="3" s="1"/>
  <c r="Q11" i="3"/>
  <c r="R11" i="3" s="1"/>
  <c r="Q10" i="3"/>
  <c r="R10" i="3" s="1"/>
  <c r="Q9" i="3"/>
  <c r="R9" i="3" s="1"/>
  <c r="Q8" i="3"/>
  <c r="R8" i="3" s="1"/>
  <c r="Q7" i="3"/>
  <c r="R7" i="3" s="1"/>
  <c r="Q6" i="3"/>
  <c r="R6" i="3" s="1"/>
  <c r="O12" i="3"/>
  <c r="O11" i="3"/>
  <c r="O10" i="3"/>
  <c r="O9" i="3"/>
  <c r="O8" i="3"/>
  <c r="O7" i="3"/>
  <c r="O6" i="3"/>
  <c r="N12" i="3"/>
  <c r="N11" i="3"/>
  <c r="N10" i="3"/>
  <c r="N9" i="3"/>
  <c r="N8" i="3"/>
  <c r="N7" i="3"/>
  <c r="N6" i="3"/>
  <c r="Q5" i="3"/>
  <c r="R5" i="3" s="1"/>
  <c r="O5" i="3"/>
  <c r="N5" i="3"/>
  <c r="P9" i="3" l="1"/>
  <c r="P6" i="3"/>
  <c r="P7" i="3"/>
  <c r="P11" i="3"/>
  <c r="P10" i="3"/>
  <c r="P8" i="3"/>
  <c r="P12" i="3"/>
  <c r="R13" i="3"/>
  <c r="P5" i="3"/>
  <c r="Z13" i="3"/>
  <c r="Y14" i="3"/>
  <c r="Z14" i="3" s="1"/>
  <c r="AN20" i="3" s="1"/>
  <c r="AD13" i="3"/>
  <c r="AG5" i="3"/>
  <c r="AD14" i="3" l="1"/>
  <c r="AG14" i="3" s="1"/>
  <c r="AN21" i="3" s="1"/>
  <c r="AQ19" i="3"/>
  <c r="P13" i="3"/>
  <c r="R14" i="3" s="1"/>
  <c r="AG13" i="3"/>
  <c r="AQ20" i="3" s="1"/>
  <c r="AQ26" i="3" l="1"/>
  <c r="AQ27" i="3"/>
  <c r="AN19" i="3"/>
  <c r="AN28" i="3" s="1"/>
  <c r="AN29" i="3"/>
  <c r="H144" i="2" l="1"/>
  <c r="O47" i="2" s="1"/>
  <c r="O48" i="2" s="1"/>
  <c r="G144" i="2"/>
  <c r="H180" i="1" l="1"/>
  <c r="O48" i="1" s="1"/>
  <c r="O49" i="1" s="1"/>
  <c r="E144" i="2" l="1"/>
  <c r="G180" i="1" l="1"/>
  <c r="E180" i="1"/>
</calcChain>
</file>

<file path=xl/comments1.xml><?xml version="1.0" encoding="utf-8"?>
<comments xmlns="http://schemas.openxmlformats.org/spreadsheetml/2006/main">
  <authors>
    <author>nuevo</author>
  </authors>
  <commentList>
    <comment ref="W13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LO QUE ENTRA EN EFECTIVO</t>
        </r>
      </text>
    </comment>
    <comment ref="W14" authorId="0">
      <text>
        <r>
          <rPr>
            <sz val="9"/>
            <color indexed="81"/>
            <rFont val="Tahoma"/>
            <family val="2"/>
          </rPr>
          <t>COMO HAY 50% DE DESCUENTO A ESTUDIANTES EL MISMO VALOR DE ARRIBA VA ACÁ</t>
        </r>
      </text>
    </comment>
    <comment ref="AC14" authorId="0">
      <text>
        <r>
          <rPr>
            <b/>
            <sz val="9"/>
            <color indexed="81"/>
            <rFont val="Tahoma"/>
            <family val="2"/>
          </rPr>
          <t>Esto es lo que aporta bienestar a los egresados</t>
        </r>
      </text>
    </comment>
  </commentList>
</comments>
</file>

<file path=xl/comments2.xml><?xml version="1.0" encoding="utf-8"?>
<comments xmlns="http://schemas.openxmlformats.org/spreadsheetml/2006/main">
  <authors>
    <author>nuevo</author>
  </authors>
  <commentList>
    <comment ref="W13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LO QUE ENTRA EN EFECTIVO</t>
        </r>
      </text>
    </comment>
    <comment ref="W14" authorId="0">
      <text>
        <r>
          <rPr>
            <sz val="9"/>
            <color indexed="81"/>
            <rFont val="Tahoma"/>
            <family val="2"/>
          </rPr>
          <t>COMO HAY 50% DE DESCUENTO A ESTUDIANTES EL MISMO VALOR DE ARRIBA VA ACÁ</t>
        </r>
      </text>
    </comment>
    <comment ref="AC14" authorId="0">
      <text>
        <r>
          <rPr>
            <b/>
            <sz val="9"/>
            <color indexed="81"/>
            <rFont val="Tahoma"/>
            <family val="2"/>
          </rPr>
          <t>Esto es lo que aporta bienestar a los egresados</t>
        </r>
      </text>
    </comment>
    <comment ref="BK142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Tarifa nocturna cuando es de mañana
</t>
        </r>
      </text>
    </comment>
  </commentList>
</comments>
</file>

<file path=xl/comments3.xml><?xml version="1.0" encoding="utf-8"?>
<comments xmlns="http://schemas.openxmlformats.org/spreadsheetml/2006/main">
  <authors>
    <author>nuevo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Seria necesario cambiar particular por pase de cortesia para clasificarlo mejor</t>
        </r>
      </text>
    </comment>
    <comment ref="C57" authorId="0">
      <text>
        <r>
          <rPr>
            <sz val="9"/>
            <color indexed="81"/>
            <rFont val="Tahoma"/>
            <family val="2"/>
          </rPr>
          <t>Cuando dice enfermeria y otras instituciones se cobra la tarifa de estudiante externo, por lo tanto habra que clasificarlo como estudiante externo así haya algun estudiante ucm</t>
        </r>
      </text>
    </comment>
    <comment ref="C116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igual que en la I124
</t>
        </r>
      </text>
    </comment>
    <comment ref="C126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debería ser de grupos ucm??
</t>
        </r>
      </text>
    </comment>
    <comment ref="C133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Facultad!
</t>
        </r>
      </text>
    </comment>
    <comment ref="C149" authorId="0">
      <text>
        <r>
          <rPr>
            <b/>
            <sz val="9"/>
            <color indexed="81"/>
            <rFont val="Tahoma"/>
            <family val="2"/>
          </rPr>
          <t>nuevo:</t>
        </r>
        <r>
          <rPr>
            <sz val="9"/>
            <color indexed="81"/>
            <rFont val="Tahoma"/>
            <family val="2"/>
          </rPr>
          <t xml:space="preserve">
Este debería ser de facultad</t>
        </r>
      </text>
    </comment>
  </commentList>
</comments>
</file>

<file path=xl/sharedStrings.xml><?xml version="1.0" encoding="utf-8"?>
<sst xmlns="http://schemas.openxmlformats.org/spreadsheetml/2006/main" count="935" uniqueCount="244">
  <si>
    <t>FECHA</t>
  </si>
  <si>
    <t>NOMBRE Y APELLIDOS</t>
  </si>
  <si>
    <t>SQUASH</t>
  </si>
  <si>
    <t>CEDULA</t>
  </si>
  <si>
    <t>VALOR</t>
  </si>
  <si>
    <t>HORAS</t>
  </si>
  <si>
    <t>JORNADA</t>
  </si>
  <si>
    <t>FACTURA</t>
  </si>
  <si>
    <t xml:space="preserve">FACTURA </t>
  </si>
  <si>
    <t>TOTAL</t>
  </si>
  <si>
    <t xml:space="preserve">TOTAL </t>
  </si>
  <si>
    <t>PERSONAS</t>
  </si>
  <si>
    <t>PARTICULAR</t>
  </si>
  <si>
    <t>EGRESADOS UCM</t>
  </si>
  <si>
    <t>TENIS DE MESA</t>
  </si>
  <si>
    <t>NOCHE</t>
  </si>
  <si>
    <t>MAÑANA</t>
  </si>
  <si>
    <t>TARDE</t>
  </si>
  <si>
    <t>UCM</t>
  </si>
  <si>
    <t>CONVENIO</t>
  </si>
  <si>
    <t>PARTICULAR MENSUALIDAD</t>
  </si>
  <si>
    <t>FACULTAD</t>
  </si>
  <si>
    <t>Horas</t>
  </si>
  <si>
    <t>UCM NOCHE</t>
  </si>
  <si>
    <t>COLABORADOR UCM</t>
  </si>
  <si>
    <t>UCM TARDE</t>
  </si>
  <si>
    <t>GRUPOS UCM</t>
  </si>
  <si>
    <t>COLABORADOR</t>
  </si>
  <si>
    <t>Total</t>
  </si>
  <si>
    <t>Estudiantes ucm</t>
  </si>
  <si>
    <t>UCM MAÑANA</t>
  </si>
  <si>
    <t>TOTAL EFECTIVO</t>
  </si>
  <si>
    <t>TOTAL CANJES EST</t>
  </si>
  <si>
    <t>TOTAL CANJES GRUPOS</t>
  </si>
  <si>
    <t>TOTAL CANJES EGRESADOS</t>
  </si>
  <si>
    <t>totales</t>
  </si>
  <si>
    <t>TOTAL INGRESO EFECTIVO</t>
  </si>
  <si>
    <t>Mañana</t>
  </si>
  <si>
    <t>Total efectivo</t>
  </si>
  <si>
    <t>Tarde</t>
  </si>
  <si>
    <t>Noche</t>
  </si>
  <si>
    <t>Total canjes</t>
  </si>
  <si>
    <t>ESTUDIANTES EXTERNOS</t>
  </si>
  <si>
    <t xml:space="preserve">Particulares </t>
  </si>
  <si>
    <t>Direccion de extención y proyección (convenio fundacion)</t>
  </si>
  <si>
    <t>Facultades</t>
  </si>
  <si>
    <t>Total canjes facultades</t>
  </si>
  <si>
    <t>total</t>
  </si>
  <si>
    <t>Total canjes covenio</t>
  </si>
  <si>
    <t>PARTICULAR CORTESIA</t>
  </si>
  <si>
    <t>PARTICULARES CORTESIA</t>
  </si>
  <si>
    <t>Total canjes bonos</t>
  </si>
  <si>
    <t>Total canjes horas de cortesia</t>
  </si>
  <si>
    <t>Observaciones</t>
  </si>
  <si>
    <t>Tipo de usuario</t>
  </si>
  <si>
    <t xml:space="preserve">Clasificación </t>
  </si>
  <si>
    <t>Tarifa:</t>
  </si>
  <si>
    <t>Tarifa</t>
  </si>
  <si>
    <t>TARDE y NOCHE</t>
  </si>
  <si>
    <t xml:space="preserve">TARIFA </t>
  </si>
  <si>
    <t>TARIFA</t>
  </si>
  <si>
    <t>PASES DE CORTESIA</t>
  </si>
  <si>
    <t>PARTICULAR PAQUETE</t>
  </si>
  <si>
    <t>Total PARTICULAR PAQUETE</t>
  </si>
  <si>
    <t>PASE DE CORTESIA</t>
  </si>
  <si>
    <t xml:space="preserve">Paquetes </t>
  </si>
  <si>
    <t>4 horas</t>
  </si>
  <si>
    <t>8 horas</t>
  </si>
  <si>
    <t>Tarifas</t>
  </si>
  <si>
    <t>Total paquetes</t>
  </si>
  <si>
    <t>CONTRATO</t>
  </si>
  <si>
    <t>Por ejemplo la universidad de caldas que paga a final de año</t>
  </si>
  <si>
    <t>Se le da juego gratis al cliente por acumulación de x cantidad de horas jugadas</t>
  </si>
  <si>
    <t>Para diferenciar a cuando pagan el paquete que seria particular paquete</t>
  </si>
  <si>
    <t>fundación con estilo humano</t>
  </si>
  <si>
    <t>Total canjes pases de cortesia</t>
  </si>
  <si>
    <t>TORNEO</t>
  </si>
  <si>
    <t>Es la tarifa para torneo 72100</t>
  </si>
  <si>
    <t>Adm. Turística</t>
  </si>
  <si>
    <t>Arquitectura</t>
  </si>
  <si>
    <t>Bacteriología</t>
  </si>
  <si>
    <t>Enfermería</t>
  </si>
  <si>
    <t xml:space="preserve">Ing. Industrial </t>
  </si>
  <si>
    <t xml:space="preserve">Ing. Telecomunicaciones </t>
  </si>
  <si>
    <t>Maestrias</t>
  </si>
  <si>
    <t>Tecnologias</t>
  </si>
  <si>
    <t>Publicidad</t>
  </si>
  <si>
    <t xml:space="preserve">U. Manizales </t>
  </si>
  <si>
    <t xml:space="preserve">U. Caldas </t>
  </si>
  <si>
    <t xml:space="preserve">U. Autonoma </t>
  </si>
  <si>
    <t xml:space="preserve">U. Remington </t>
  </si>
  <si>
    <t xml:space="preserve">U. Luis Amigó </t>
  </si>
  <si>
    <t>ESTUDIANTE_EXTERNO</t>
  </si>
  <si>
    <t xml:space="preserve"> </t>
  </si>
  <si>
    <t>ESTUDIANTE_UCM</t>
  </si>
  <si>
    <t>EGRESADO_UCM</t>
  </si>
  <si>
    <t>Cuando esta jugando una hora del paquete adquirido en mensualidad</t>
  </si>
  <si>
    <t>TOTAL TORNEOS</t>
  </si>
  <si>
    <t>ESTUDIANTES UCM</t>
  </si>
  <si>
    <t>FACULTADES</t>
  </si>
  <si>
    <t xml:space="preserve">EFECTIVO </t>
  </si>
  <si>
    <t>CANJES</t>
  </si>
  <si>
    <t>PARTICULARES</t>
  </si>
  <si>
    <t>TOTAL CANJES</t>
  </si>
  <si>
    <t xml:space="preserve">TOTAL EFECTIVO </t>
  </si>
  <si>
    <t>Lunes</t>
  </si>
  <si>
    <t xml:space="preserve">Martes </t>
  </si>
  <si>
    <t xml:space="preserve">Jueves </t>
  </si>
  <si>
    <t>Viernes</t>
  </si>
  <si>
    <t>Cantidad</t>
  </si>
  <si>
    <t xml:space="preserve">Numero de usos </t>
  </si>
  <si>
    <t>Miércoles</t>
  </si>
  <si>
    <t xml:space="preserve">Sábado </t>
  </si>
  <si>
    <t>Días</t>
  </si>
  <si>
    <t xml:space="preserve">General Días </t>
  </si>
  <si>
    <t>Estudiantes UCM</t>
  </si>
  <si>
    <t xml:space="preserve">Ing. Ambiental </t>
  </si>
  <si>
    <t>Usos</t>
  </si>
  <si>
    <t>Maestria</t>
  </si>
  <si>
    <t>Tecnologia</t>
  </si>
  <si>
    <t>Carreras</t>
  </si>
  <si>
    <t>Estudiantes externos</t>
  </si>
  <si>
    <t>Colegio</t>
  </si>
  <si>
    <t>Otro</t>
  </si>
  <si>
    <t xml:space="preserve">Universidades </t>
  </si>
  <si>
    <t xml:space="preserve">U. Nacional </t>
  </si>
  <si>
    <t>U. Nacional</t>
  </si>
  <si>
    <t>U. Manizales</t>
  </si>
  <si>
    <t>U. Caldas</t>
  </si>
  <si>
    <t>U. Autonoma</t>
  </si>
  <si>
    <t>U. Remington</t>
  </si>
  <si>
    <t>U. Luis Amigó</t>
  </si>
  <si>
    <t>Ing. Industrial</t>
  </si>
  <si>
    <t>Ing. Ambiental</t>
  </si>
  <si>
    <t>Ing. Telecomunicaciones</t>
  </si>
  <si>
    <t>Inge. Ambiental</t>
  </si>
  <si>
    <t>PARTICULAR_PAQUETE</t>
  </si>
  <si>
    <t>Paquete 2 de 4</t>
  </si>
  <si>
    <t>Paquete 1 de 4</t>
  </si>
  <si>
    <t>Paquete 3 de 4</t>
  </si>
  <si>
    <t>Paquete 4 de 4</t>
  </si>
  <si>
    <t>Paquete 1 de 8</t>
  </si>
  <si>
    <t>Paquete 2 de 8</t>
  </si>
  <si>
    <t>Paquete 3 de 8</t>
  </si>
  <si>
    <t>Paquete 4 de 8</t>
  </si>
  <si>
    <t>Paquete 5 de 8</t>
  </si>
  <si>
    <t>Paquete 6 de 8</t>
  </si>
  <si>
    <t>Paquete 7 de 8</t>
  </si>
  <si>
    <t>Paquete 8 de 8</t>
  </si>
  <si>
    <t>Egresados UCM</t>
  </si>
  <si>
    <t>TOTAl cantidad</t>
  </si>
  <si>
    <t>Total Usos</t>
  </si>
  <si>
    <t>Colaboradores</t>
  </si>
  <si>
    <t>Particulares</t>
  </si>
  <si>
    <t>Grupos UCM</t>
  </si>
  <si>
    <t>Convenio</t>
  </si>
  <si>
    <t>Torneo</t>
  </si>
  <si>
    <t>Pases de cortesia</t>
  </si>
  <si>
    <t>Contratos</t>
  </si>
  <si>
    <t>UNIVERSIDAD CATOLICA DE MANIZALES</t>
  </si>
  <si>
    <t>VICERRECTORIA ADMINISTRATIVA Y FINANCIERA</t>
  </si>
  <si>
    <t>DIRECCION ADMINISTRATIVA</t>
  </si>
  <si>
    <t xml:space="preserve"> INFORME MENSUAL DE INGRESOS </t>
  </si>
  <si>
    <t>DEPENDENCIA:</t>
  </si>
  <si>
    <t xml:space="preserve">CAMPUS DEPORTIVO UCM </t>
  </si>
  <si>
    <t>RESPONSABLES:</t>
  </si>
  <si>
    <t>FERNADO GIL LUNA</t>
  </si>
  <si>
    <t>CESAR AUGUSTO ALZATE</t>
  </si>
  <si>
    <t>MES DEL REPORTE:</t>
  </si>
  <si>
    <t xml:space="preserve"> Ingresos  por días </t>
  </si>
  <si>
    <t>DIA</t>
  </si>
  <si>
    <t>No DIAS</t>
  </si>
  <si>
    <t xml:space="preserve">TOTAL INGRESO </t>
  </si>
  <si>
    <t>ESTADISTICA : CONSUMO INTERNO / CANJES / CONVENIOS</t>
  </si>
  <si>
    <t>LUNES</t>
  </si>
  <si>
    <t xml:space="preserve">SERVICIOS </t>
  </si>
  <si>
    <t>TOTALES</t>
  </si>
  <si>
    <t>MARTES</t>
  </si>
  <si>
    <t>FUTBOL</t>
  </si>
  <si>
    <t>MIÉRCOLES</t>
  </si>
  <si>
    <t>JUEVES</t>
  </si>
  <si>
    <t>SALON Y TENIS DE MESA</t>
  </si>
  <si>
    <t>VIERNES</t>
  </si>
  <si>
    <t>SÁBADO</t>
  </si>
  <si>
    <t>CONSUMO INTERNO UCM TOTAL GENERAL</t>
  </si>
  <si>
    <t>Totales</t>
  </si>
  <si>
    <t>OTROS INGRESOS</t>
  </si>
  <si>
    <t>UNIVERSIDAD DE CALDAS</t>
  </si>
  <si>
    <t xml:space="preserve">HORAS </t>
  </si>
  <si>
    <t xml:space="preserve">TOTAL INGRESOS </t>
  </si>
  <si>
    <t>INFORME DE INGRESOS CAMPUS DEPORTIVO</t>
  </si>
  <si>
    <t>ABRIL</t>
  </si>
  <si>
    <t xml:space="preserve">N° INICIAL </t>
  </si>
  <si>
    <t>N° FINAL</t>
  </si>
  <si>
    <t>No. RECIBO</t>
  </si>
  <si>
    <t>OBSERVACION</t>
  </si>
  <si>
    <t>INGRESOS MENSUALES AÑO 2017</t>
  </si>
  <si>
    <t>SERVICIO CAMPUS DEPORTIVO</t>
  </si>
  <si>
    <t>ENERO</t>
  </si>
  <si>
    <t xml:space="preserve">FEBRERO </t>
  </si>
  <si>
    <t xml:space="preserve">MARZO </t>
  </si>
  <si>
    <t xml:space="preserve">MAYO 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</si>
  <si>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</si>
  <si>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</si>
  <si>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</si>
  <si>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</si>
  <si>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</si>
  <si>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</si>
  <si>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</si>
  <si>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FUTBOL-SALA</t>
  </si>
  <si>
    <t>SERVICIO CON FACTURA</t>
  </si>
  <si>
    <t>TOTAL GENERAL</t>
  </si>
  <si>
    <t>ADULTO MAYOR</t>
  </si>
  <si>
    <t>Adulto Activo gym o campus</t>
  </si>
  <si>
    <t>Adulto Particular</t>
  </si>
  <si>
    <t>ADULTO_MAYOR</t>
  </si>
  <si>
    <t>CAMPUS Y GYM</t>
  </si>
  <si>
    <t>SuperCampus</t>
  </si>
  <si>
    <t>TARIFAS ESPECIALES</t>
  </si>
  <si>
    <t>Super Campus</t>
  </si>
  <si>
    <t>Baloncesto</t>
  </si>
  <si>
    <t>TARIFAS_ESPECIALES</t>
  </si>
  <si>
    <t>CURSO_SQUASH</t>
  </si>
  <si>
    <t>Colaborador</t>
  </si>
  <si>
    <t>Estudiante Externo</t>
  </si>
  <si>
    <t>Estudiante UCM</t>
  </si>
  <si>
    <t>Egresado</t>
  </si>
  <si>
    <t>Particular</t>
  </si>
  <si>
    <t>Curso Squash</t>
  </si>
  <si>
    <t>Est Externo</t>
  </si>
  <si>
    <t>Est UCM</t>
  </si>
  <si>
    <t>CURSO SQUASH</t>
  </si>
  <si>
    <t>Baloncesto particular</t>
  </si>
  <si>
    <t>ESTUDIANTES</t>
  </si>
  <si>
    <t>Baloncesto est.</t>
  </si>
  <si>
    <t>MES</t>
  </si>
  <si>
    <t xml:space="preserve">Ingresos Mensuales 
Squash </t>
  </si>
  <si>
    <t xml:space="preserve">Ingresos Mensuales 
Tenis de Mesa </t>
  </si>
  <si>
    <t xml:space="preserve">Ingresos Mensuales 
Fútbol Sala </t>
  </si>
  <si>
    <t>Código</t>
  </si>
  <si>
    <t>Versión</t>
  </si>
  <si>
    <t>Página</t>
  </si>
  <si>
    <t>GAF - P</t>
  </si>
  <si>
    <t>GAF - F - 69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</si>
</sst>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\ #,##0_);[Red]\(&quot;$&quot;\ #,##0\)"/>
    <numFmt numFmtId="42" formatCode="_(&quot;$&quot;\ * #,##0_);_(&quot;$&quot;\ * \(#,##0\);_(&quot;$&quot;\ 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_(&quot;$&quot;\ * #,##0_);_(&quot;$&quot;\ * \(#,##0\);_(&quot;$&quot;\ * &quot;-&quot;??_);_(@_)"/>
    <numFmt numFmtId="168" formatCode="&quot;$&quot;\ #,##0"/>
  </numFmts>
  <fonts count="97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9"/>
      <name val="Arial"/>
      <family val="2"/>
    </font>
    <font>
      <sz val="10"/>
      <color rgb="FF00B050"/>
      <name val="Calibri"/>
      <family val="2"/>
      <scheme val="minor"/>
    </font>
    <font>
      <sz val="10"/>
      <color rgb="FF00B0F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 tint="0.34998626667073579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 Unicode MS"/>
      <family val="2"/>
    </font>
    <font>
      <b/>
      <sz val="10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sz val="10"/>
      <color rgb="FF7030A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8"/>
      <color theme="1"/>
      <name val="Century Gothic"/>
      <family val="2"/>
    </font>
    <font>
      <sz val="1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1" fillId="0" borderId="0"/>
    <xf numFmtId="44" fontId="41" fillId="0" borderId="0" applyFont="0" applyFill="0" applyBorder="0" applyAlignment="0" applyProtection="0"/>
    <xf numFmtId="0" fontId="68" fillId="0" borderId="0"/>
    <xf numFmtId="43" fontId="41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68" fillId="0" borderId="0" applyFont="0" applyFill="0" applyBorder="0" applyAlignment="0" applyProtection="0"/>
  </cellStyleXfs>
  <cellXfs count="725">
    <xf numFmtId="0" fontId="0" fillId="0" borderId="0" xfId="0"/>
    <xf numFmtId="0" fontId="46" fillId="0" borderId="0" xfId="0" applyFont="1"/>
    <xf numFmtId="0" fontId="0" fillId="0" borderId="0" xfId="0" applyAlignment="1"/>
    <xf numFmtId="0" fontId="0" fillId="0" borderId="0" xfId="0" applyAlignment="1">
      <alignment horizontal="center" vertical="top"/>
    </xf>
    <xf numFmtId="0" fontId="4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0" fontId="45" fillId="0" borderId="0" xfId="0" applyFont="1"/>
    <xf numFmtId="0" fontId="0" fillId="0" borderId="0" xfId="0" applyAlignment="1">
      <alignment horizontal="left"/>
    </xf>
    <xf numFmtId="0" fontId="0" fillId="0" borderId="0" xfId="0" applyFont="1" applyAlignment="1"/>
    <xf numFmtId="0" fontId="47" fillId="0" borderId="0" xfId="0" applyFont="1"/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8" fillId="0" borderId="0" xfId="0" applyFont="1" applyAlignment="1"/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 applyAlignment="1"/>
    <xf numFmtId="0" fontId="51" fillId="0" borderId="0" xfId="0" applyFont="1"/>
    <xf numFmtId="0" fontId="45" fillId="0" borderId="0" xfId="0" applyFont="1" applyAlignment="1"/>
    <xf numFmtId="0" fontId="52" fillId="0" borderId="0" xfId="0" applyFont="1"/>
    <xf numFmtId="0" fontId="53" fillId="0" borderId="0" xfId="0" applyFont="1" applyAlignment="1">
      <alignment horizontal="center"/>
    </xf>
    <xf numFmtId="0" fontId="49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center" vertical="top"/>
    </xf>
    <xf numFmtId="0" fontId="0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9" fillId="0" borderId="0" xfId="0" applyFont="1" applyAlignment="1">
      <alignment horizontal="center"/>
    </xf>
    <xf numFmtId="0" fontId="49" fillId="0" borderId="0" xfId="0" applyFont="1" applyAlignment="1"/>
    <xf numFmtId="0" fontId="54" fillId="0" borderId="0" xfId="0" applyFont="1"/>
    <xf numFmtId="0" fontId="55" fillId="0" borderId="0" xfId="0" applyFont="1"/>
    <xf numFmtId="0" fontId="55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6" fontId="55" fillId="0" borderId="0" xfId="0" applyNumberFormat="1" applyFont="1" applyAlignment="1"/>
    <xf numFmtId="0" fontId="55" fillId="0" borderId="0" xfId="0" applyFont="1" applyAlignment="1"/>
    <xf numFmtId="0" fontId="49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9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49" fillId="0" borderId="0" xfId="0" applyFont="1" applyAlignment="1"/>
    <xf numFmtId="0" fontId="0" fillId="0" borderId="0" xfId="0" applyNumberFormat="1" applyAlignment="1">
      <alignment horizontal="center"/>
    </xf>
    <xf numFmtId="0" fontId="49" fillId="0" borderId="0" xfId="0" applyNumberFormat="1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right" vertical="center"/>
    </xf>
    <xf numFmtId="0" fontId="49" fillId="0" borderId="0" xfId="0" applyFont="1" applyAlignment="1">
      <alignment horizontal="right"/>
    </xf>
    <xf numFmtId="0" fontId="57" fillId="0" borderId="0" xfId="0" applyFont="1" applyAlignment="1">
      <alignment horizontal="left"/>
    </xf>
    <xf numFmtId="0" fontId="53" fillId="0" borderId="0" xfId="0" applyFont="1" applyAlignment="1"/>
    <xf numFmtId="0" fontId="53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0" fontId="42" fillId="0" borderId="0" xfId="0" applyFont="1" applyAlignment="1">
      <alignment horizontal="left"/>
    </xf>
    <xf numFmtId="0" fontId="45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45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58" fillId="0" borderId="0" xfId="0" applyFont="1"/>
    <xf numFmtId="0" fontId="49" fillId="0" borderId="0" xfId="0" applyFont="1" applyBorder="1" applyAlignment="1"/>
    <xf numFmtId="0" fontId="0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left"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right"/>
    </xf>
    <xf numFmtId="0" fontId="6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49" fillId="0" borderId="0" xfId="0" applyNumberFormat="1" applyFont="1" applyAlignment="1">
      <alignment horizontal="center"/>
    </xf>
    <xf numFmtId="0" fontId="62" fillId="0" borderId="0" xfId="0" applyFont="1" applyAlignment="1">
      <alignment horizontal="left"/>
    </xf>
    <xf numFmtId="0" fontId="63" fillId="0" borderId="0" xfId="0" applyFont="1" applyAlignment="1">
      <alignment horizontal="center" vertical="top"/>
    </xf>
    <xf numFmtId="0" fontId="63" fillId="0" borderId="0" xfId="0" applyFont="1" applyAlignment="1">
      <alignment horizontal="center"/>
    </xf>
    <xf numFmtId="0" fontId="63" fillId="0" borderId="0" xfId="0" applyFont="1" applyAlignment="1"/>
    <xf numFmtId="0" fontId="63" fillId="0" borderId="0" xfId="0" applyFont="1" applyAlignment="1">
      <alignment horizontal="left"/>
    </xf>
    <xf numFmtId="0" fontId="62" fillId="0" borderId="0" xfId="0" applyFont="1" applyAlignment="1">
      <alignment horizontal="center" vertical="top"/>
    </xf>
    <xf numFmtId="0" fontId="62" fillId="0" borderId="0" xfId="0" applyFont="1" applyAlignment="1">
      <alignment horizontal="center"/>
    </xf>
    <xf numFmtId="0" fontId="62" fillId="0" borderId="0" xfId="0" applyFont="1" applyAlignment="1"/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64" fillId="0" borderId="0" xfId="0" applyFont="1"/>
    <xf numFmtId="0" fontId="66" fillId="0" borderId="0" xfId="0" applyFont="1" applyAlignment="1">
      <alignment horizontal="center"/>
    </xf>
    <xf numFmtId="0" fontId="65" fillId="0" borderId="0" xfId="0" applyFont="1"/>
    <xf numFmtId="49" fontId="66" fillId="0" borderId="0" xfId="0" applyNumberFormat="1" applyFont="1" applyAlignment="1">
      <alignment horizontal="center"/>
    </xf>
    <xf numFmtId="49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/>
    <xf numFmtId="0" fontId="69" fillId="0" borderId="0" xfId="0" applyFont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/>
    <xf numFmtId="0" fontId="0" fillId="2" borderId="0" xfId="0" applyFont="1" applyFill="1" applyAlignment="1">
      <alignment horizontal="center"/>
    </xf>
    <xf numFmtId="0" fontId="0" fillId="2" borderId="0" xfId="0" applyFont="1" applyFill="1" applyBorder="1" applyAlignment="1">
      <alignment horizontal="left"/>
    </xf>
    <xf numFmtId="0" fontId="46" fillId="2" borderId="0" xfId="0" applyFont="1" applyFill="1"/>
    <xf numFmtId="0" fontId="0" fillId="2" borderId="0" xfId="0" applyFont="1" applyFill="1" applyAlignment="1">
      <alignment horizontal="left"/>
    </xf>
    <xf numFmtId="0" fontId="49" fillId="2" borderId="0" xfId="0" applyFont="1" applyFill="1" applyAlignment="1">
      <alignment horizontal="center"/>
    </xf>
    <xf numFmtId="0" fontId="0" fillId="2" borderId="0" xfId="0" applyFont="1" applyFill="1"/>
    <xf numFmtId="0" fontId="0" fillId="2" borderId="0" xfId="0" applyFont="1" applyFill="1" applyAlignment="1">
      <alignment vertical="center"/>
    </xf>
    <xf numFmtId="0" fontId="0" fillId="0" borderId="0" xfId="0" applyFont="1" applyAlignment="1">
      <alignment horizontal="center"/>
    </xf>
    <xf numFmtId="0" fontId="0" fillId="3" borderId="0" xfId="0" applyFont="1" applyFill="1"/>
    <xf numFmtId="0" fontId="0" fillId="4" borderId="0" xfId="0" applyFont="1" applyFill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9" fillId="0" borderId="0" xfId="0" applyFont="1" applyBorder="1"/>
    <xf numFmtId="0" fontId="49" fillId="0" borderId="5" xfId="0" applyFont="1" applyBorder="1"/>
    <xf numFmtId="0" fontId="0" fillId="0" borderId="6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0" fillId="0" borderId="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9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49" fillId="0" borderId="4" xfId="0" applyFont="1" applyBorder="1"/>
    <xf numFmtId="0" fontId="0" fillId="0" borderId="7" xfId="0" applyFont="1" applyBorder="1" applyAlignment="1">
      <alignment horizontal="center"/>
    </xf>
    <xf numFmtId="164" fontId="0" fillId="2" borderId="0" xfId="5" applyNumberFormat="1" applyFont="1" applyFill="1" applyAlignment="1">
      <alignment horizontal="left"/>
    </xf>
    <xf numFmtId="164" fontId="0" fillId="0" borderId="0" xfId="5" applyNumberFormat="1" applyFont="1" applyBorder="1" applyAlignment="1">
      <alignment horizontal="left"/>
    </xf>
    <xf numFmtId="164" fontId="0" fillId="0" borderId="5" xfId="5" applyNumberFormat="1" applyFont="1" applyBorder="1" applyAlignment="1">
      <alignment horizontal="left"/>
    </xf>
    <xf numFmtId="164" fontId="0" fillId="0" borderId="7" xfId="5" applyNumberFormat="1" applyFont="1" applyBorder="1" applyAlignment="1">
      <alignment horizontal="left"/>
    </xf>
    <xf numFmtId="164" fontId="0" fillId="0" borderId="8" xfId="5" applyNumberFormat="1" applyFont="1" applyBorder="1" applyAlignment="1">
      <alignment horizontal="left"/>
    </xf>
    <xf numFmtId="164" fontId="0" fillId="0" borderId="10" xfId="5" applyNumberFormat="1" applyFont="1" applyBorder="1" applyAlignment="1">
      <alignment horizontal="left"/>
    </xf>
    <xf numFmtId="0" fontId="0" fillId="0" borderId="9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4" xfId="0" applyBorder="1"/>
    <xf numFmtId="0" fontId="0" fillId="0" borderId="0" xfId="0" applyFont="1" applyBorder="1" applyAlignment="1"/>
    <xf numFmtId="0" fontId="45" fillId="0" borderId="0" xfId="0" applyFont="1" applyBorder="1"/>
    <xf numFmtId="0" fontId="45" fillId="0" borderId="5" xfId="0" applyFont="1" applyBorder="1"/>
    <xf numFmtId="0" fontId="0" fillId="0" borderId="4" xfId="0" applyFont="1" applyBorder="1"/>
    <xf numFmtId="164" fontId="0" fillId="0" borderId="0" xfId="0" applyNumberFormat="1" applyFont="1" applyBorder="1" applyAlignment="1">
      <alignment horizontal="left"/>
    </xf>
    <xf numFmtId="164" fontId="0" fillId="0" borderId="5" xfId="0" applyNumberFormat="1" applyFont="1" applyBorder="1" applyAlignment="1">
      <alignment horizontal="left"/>
    </xf>
    <xf numFmtId="0" fontId="0" fillId="0" borderId="6" xfId="0" applyBorder="1"/>
    <xf numFmtId="164" fontId="0" fillId="0" borderId="11" xfId="5" applyNumberFormat="1" applyFont="1" applyBorder="1" applyAlignment="1">
      <alignment horizontal="left"/>
    </xf>
    <xf numFmtId="164" fontId="0" fillId="0" borderId="0" xfId="5" applyNumberFormat="1" applyFont="1" applyBorder="1" applyAlignment="1">
      <alignment horizontal="center"/>
    </xf>
    <xf numFmtId="164" fontId="0" fillId="0" borderId="5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164" fontId="0" fillId="0" borderId="12" xfId="0" applyNumberFormat="1" applyFont="1" applyBorder="1" applyAlignment="1">
      <alignment horizontal="left"/>
    </xf>
    <xf numFmtId="164" fontId="0" fillId="0" borderId="12" xfId="5" applyNumberFormat="1" applyFont="1" applyBorder="1" applyAlignment="1">
      <alignment horizontal="left"/>
    </xf>
    <xf numFmtId="164" fontId="0" fillId="3" borderId="12" xfId="5" applyNumberFormat="1" applyFont="1" applyFill="1" applyBorder="1" applyAlignment="1">
      <alignment horizontal="left"/>
    </xf>
    <xf numFmtId="9" fontId="0" fillId="0" borderId="0" xfId="0" applyNumberFormat="1" applyFont="1" applyBorder="1" applyAlignment="1">
      <alignment horizontal="center"/>
    </xf>
    <xf numFmtId="0" fontId="45" fillId="0" borderId="4" xfId="0" applyFont="1" applyBorder="1"/>
    <xf numFmtId="0" fontId="0" fillId="0" borderId="5" xfId="0" applyFont="1" applyBorder="1" applyAlignment="1">
      <alignment horizontal="left"/>
    </xf>
    <xf numFmtId="0" fontId="46" fillId="2" borderId="6" xfId="0" applyFont="1" applyFill="1" applyBorder="1"/>
    <xf numFmtId="0" fontId="0" fillId="0" borderId="11" xfId="0" applyFont="1" applyBorder="1" applyAlignment="1">
      <alignment horizontal="left"/>
    </xf>
    <xf numFmtId="164" fontId="0" fillId="0" borderId="13" xfId="0" applyNumberFormat="1" applyFont="1" applyBorder="1" applyAlignment="1">
      <alignment horizontal="left"/>
    </xf>
    <xf numFmtId="164" fontId="0" fillId="0" borderId="0" xfId="0" applyNumberFormat="1" applyFont="1" applyAlignment="1">
      <alignment horizontal="left"/>
    </xf>
    <xf numFmtId="164" fontId="0" fillId="0" borderId="7" xfId="5" applyNumberFormat="1" applyFont="1" applyBorder="1" applyAlignment="1">
      <alignment horizontal="center"/>
    </xf>
    <xf numFmtId="164" fontId="0" fillId="6" borderId="12" xfId="5" applyNumberFormat="1" applyFont="1" applyFill="1" applyBorder="1" applyAlignment="1">
      <alignment horizontal="left"/>
    </xf>
    <xf numFmtId="0" fontId="0" fillId="0" borderId="0" xfId="0" applyFont="1" applyBorder="1" applyAlignment="1">
      <alignment horizontal="left" vertical="center"/>
    </xf>
    <xf numFmtId="164" fontId="0" fillId="0" borderId="7" xfId="5" applyNumberFormat="1" applyFont="1" applyBorder="1" applyAlignment="1">
      <alignment horizontal="left" vertical="center"/>
    </xf>
    <xf numFmtId="164" fontId="0" fillId="0" borderId="0" xfId="5" applyNumberFormat="1" applyFont="1" applyBorder="1" applyAlignment="1">
      <alignment horizontal="left" vertical="center"/>
    </xf>
    <xf numFmtId="164" fontId="0" fillId="6" borderId="9" xfId="5" applyNumberFormat="1" applyFont="1" applyFill="1" applyBorder="1" applyAlignment="1">
      <alignment horizontal="left"/>
    </xf>
    <xf numFmtId="164" fontId="0" fillId="6" borderId="11" xfId="5" applyNumberFormat="1" applyFont="1" applyFill="1" applyBorder="1" applyAlignment="1">
      <alignment horizontal="left"/>
    </xf>
    <xf numFmtId="0" fontId="0" fillId="0" borderId="4" xfId="0" applyFont="1" applyBorder="1" applyAlignment="1">
      <alignment horizontal="left"/>
    </xf>
    <xf numFmtId="164" fontId="0" fillId="0" borderId="0" xfId="5" applyNumberFormat="1" applyFont="1" applyBorder="1" applyAlignment="1"/>
    <xf numFmtId="0" fontId="0" fillId="0" borderId="4" xfId="0" applyFont="1" applyBorder="1" applyAlignment="1">
      <alignment horizontal="left" vertical="center"/>
    </xf>
    <xf numFmtId="164" fontId="0" fillId="0" borderId="11" xfId="0" applyNumberFormat="1" applyFont="1" applyBorder="1" applyAlignment="1">
      <alignment horizontal="left"/>
    </xf>
    <xf numFmtId="0" fontId="0" fillId="0" borderId="11" xfId="0" applyBorder="1"/>
    <xf numFmtId="164" fontId="0" fillId="0" borderId="11" xfId="0" applyNumberFormat="1" applyFont="1" applyBorder="1" applyAlignment="1">
      <alignment horizontal="center"/>
    </xf>
    <xf numFmtId="0" fontId="0" fillId="0" borderId="4" xfId="0" applyFont="1" applyFill="1" applyBorder="1" applyAlignment="1">
      <alignment horizontal="left"/>
    </xf>
    <xf numFmtId="164" fontId="0" fillId="0" borderId="5" xfId="5" applyNumberFormat="1" applyFont="1" applyBorder="1" applyAlignment="1">
      <alignment horizontal="center"/>
    </xf>
    <xf numFmtId="164" fontId="0" fillId="0" borderId="8" xfId="5" applyNumberFormat="1" applyFont="1" applyBorder="1" applyAlignment="1">
      <alignment horizontal="center"/>
    </xf>
    <xf numFmtId="0" fontId="40" fillId="0" borderId="2" xfId="0" applyFont="1" applyBorder="1" applyAlignment="1">
      <alignment vertical="center"/>
    </xf>
    <xf numFmtId="0" fontId="40" fillId="0" borderId="3" xfId="0" applyFont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40" fillId="0" borderId="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0" fontId="40" fillId="0" borderId="7" xfId="0" applyFont="1" applyBorder="1" applyAlignment="1">
      <alignment vertical="center"/>
    </xf>
    <xf numFmtId="0" fontId="39" fillId="0" borderId="5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40" fillId="0" borderId="8" xfId="0" applyFont="1" applyBorder="1" applyAlignment="1">
      <alignment vertical="center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left"/>
    </xf>
    <xf numFmtId="0" fontId="72" fillId="0" borderId="0" xfId="0" applyFont="1"/>
    <xf numFmtId="0" fontId="0" fillId="5" borderId="0" xfId="0" applyFont="1" applyFill="1"/>
    <xf numFmtId="0" fontId="0" fillId="5" borderId="0" xfId="0" applyFill="1"/>
    <xf numFmtId="0" fontId="61" fillId="5" borderId="0" xfId="0" applyFont="1" applyFill="1"/>
    <xf numFmtId="0" fontId="0" fillId="0" borderId="0" xfId="0" applyFill="1"/>
    <xf numFmtId="0" fontId="0" fillId="0" borderId="9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2" borderId="0" xfId="0" applyNumberFormat="1" applyFont="1" applyFill="1" applyAlignment="1">
      <alignment horizontal="left"/>
    </xf>
    <xf numFmtId="0" fontId="38" fillId="0" borderId="9" xfId="0" applyFont="1" applyBorder="1" applyAlignment="1">
      <alignment vertical="center"/>
    </xf>
    <xf numFmtId="0" fontId="39" fillId="0" borderId="11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0" fontId="38" fillId="0" borderId="4" xfId="0" applyFont="1" applyFill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0" fillId="0" borderId="8" xfId="0" applyFont="1" applyBorder="1" applyAlignment="1">
      <alignment horizontal="left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46" fillId="0" borderId="4" xfId="0" applyFont="1" applyBorder="1"/>
    <xf numFmtId="0" fontId="46" fillId="0" borderId="0" xfId="0" applyFont="1" applyBorder="1"/>
    <xf numFmtId="0" fontId="46" fillId="0" borderId="9" xfId="0" applyFont="1" applyBorder="1"/>
    <xf numFmtId="0" fontId="46" fillId="0" borderId="11" xfId="0" applyFont="1" applyBorder="1"/>
    <xf numFmtId="164" fontId="0" fillId="0" borderId="9" xfId="5" applyNumberFormat="1" applyFont="1" applyBorder="1" applyAlignment="1">
      <alignment horizontal="left"/>
    </xf>
    <xf numFmtId="164" fontId="0" fillId="0" borderId="9" xfId="5" applyNumberFormat="1" applyFont="1" applyBorder="1" applyAlignment="1">
      <alignment horizontal="center"/>
    </xf>
    <xf numFmtId="164" fontId="0" fillId="0" borderId="11" xfId="5" applyNumberFormat="1" applyFont="1" applyBorder="1" applyAlignment="1">
      <alignment horizontal="center"/>
    </xf>
    <xf numFmtId="164" fontId="0" fillId="0" borderId="10" xfId="5" applyNumberFormat="1" applyFont="1" applyBorder="1" applyAlignment="1">
      <alignment horizontal="center"/>
    </xf>
    <xf numFmtId="164" fontId="0" fillId="0" borderId="10" xfId="0" applyNumberFormat="1" applyFont="1" applyBorder="1" applyAlignment="1">
      <alignment horizontal="left"/>
    </xf>
    <xf numFmtId="164" fontId="40" fillId="0" borderId="0" xfId="5" applyNumberFormat="1" applyFont="1" applyBorder="1" applyAlignment="1">
      <alignment vertical="center"/>
    </xf>
    <xf numFmtId="164" fontId="40" fillId="0" borderId="5" xfId="5" applyNumberFormat="1" applyFont="1" applyBorder="1" applyAlignment="1">
      <alignment vertical="center"/>
    </xf>
    <xf numFmtId="164" fontId="40" fillId="0" borderId="7" xfId="5" applyNumberFormat="1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164" fontId="40" fillId="0" borderId="8" xfId="5" applyNumberFormat="1" applyFont="1" applyBorder="1" applyAlignment="1">
      <alignment vertical="center"/>
    </xf>
    <xf numFmtId="0" fontId="0" fillId="0" borderId="9" xfId="0" applyFont="1" applyBorder="1"/>
    <xf numFmtId="0" fontId="0" fillId="0" borderId="11" xfId="0" applyFont="1" applyBorder="1"/>
    <xf numFmtId="0" fontId="0" fillId="0" borderId="0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49" fillId="0" borderId="9" xfId="0" applyFont="1" applyBorder="1" applyAlignment="1">
      <alignment horizontal="left"/>
    </xf>
    <xf numFmtId="164" fontId="0" fillId="0" borderId="0" xfId="0" applyNumberFormat="1" applyFont="1" applyAlignment="1">
      <alignment vertical="center"/>
    </xf>
    <xf numFmtId="0" fontId="37" fillId="0" borderId="4" xfId="0" applyFont="1" applyBorder="1" applyAlignment="1">
      <alignment vertical="center"/>
    </xf>
    <xf numFmtId="0" fontId="0" fillId="5" borderId="4" xfId="0" applyFont="1" applyFill="1" applyBorder="1"/>
    <xf numFmtId="0" fontId="37" fillId="0" borderId="9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62" fillId="0" borderId="0" xfId="0" applyFont="1"/>
    <xf numFmtId="14" fontId="49" fillId="0" borderId="0" xfId="0" applyNumberFormat="1" applyFont="1" applyAlignment="1">
      <alignment horizontal="center"/>
    </xf>
    <xf numFmtId="0" fontId="74" fillId="0" borderId="15" xfId="0" applyFont="1" applyBorder="1" applyAlignment="1">
      <alignment vertical="center"/>
    </xf>
    <xf numFmtId="0" fontId="0" fillId="0" borderId="16" xfId="0" applyFont="1" applyBorder="1"/>
    <xf numFmtId="0" fontId="0" fillId="0" borderId="20" xfId="0" applyFont="1" applyBorder="1"/>
    <xf numFmtId="0" fontId="0" fillId="0" borderId="21" xfId="0" applyFont="1" applyBorder="1"/>
    <xf numFmtId="0" fontId="0" fillId="0" borderId="22" xfId="0" applyFont="1" applyBorder="1"/>
    <xf numFmtId="0" fontId="0" fillId="0" borderId="23" xfId="0" applyFont="1" applyBorder="1"/>
    <xf numFmtId="0" fontId="0" fillId="0" borderId="24" xfId="0" applyFont="1" applyBorder="1"/>
    <xf numFmtId="0" fontId="72" fillId="0" borderId="21" xfId="0" applyFont="1" applyBorder="1"/>
    <xf numFmtId="0" fontId="72" fillId="0" borderId="25" xfId="0" applyFont="1" applyBorder="1"/>
    <xf numFmtId="0" fontId="0" fillId="0" borderId="26" xfId="0" applyBorder="1"/>
    <xf numFmtId="0" fontId="0" fillId="0" borderId="27" xfId="0" applyFont="1" applyBorder="1"/>
    <xf numFmtId="0" fontId="0" fillId="0" borderId="28" xfId="0" applyFont="1" applyBorder="1"/>
    <xf numFmtId="0" fontId="72" fillId="0" borderId="20" xfId="0" applyFont="1" applyBorder="1"/>
    <xf numFmtId="0" fontId="0" fillId="0" borderId="29" xfId="0" applyFont="1" applyBorder="1"/>
    <xf numFmtId="0" fontId="0" fillId="0" borderId="30" xfId="0" applyFont="1" applyBorder="1"/>
    <xf numFmtId="0" fontId="57" fillId="0" borderId="20" xfId="0" applyFont="1" applyBorder="1"/>
    <xf numFmtId="0" fontId="57" fillId="0" borderId="16" xfId="0" applyFont="1" applyBorder="1"/>
    <xf numFmtId="0" fontId="57" fillId="0" borderId="21" xfId="0" applyFont="1" applyBorder="1"/>
    <xf numFmtId="0" fontId="57" fillId="0" borderId="26" xfId="0" applyFont="1" applyBorder="1"/>
    <xf numFmtId="0" fontId="75" fillId="0" borderId="20" xfId="0" applyFont="1" applyBorder="1"/>
    <xf numFmtId="0" fontId="75" fillId="0" borderId="21" xfId="0" applyFont="1" applyBorder="1"/>
    <xf numFmtId="0" fontId="75" fillId="0" borderId="27" xfId="0" applyFont="1" applyBorder="1"/>
    <xf numFmtId="0" fontId="75" fillId="0" borderId="29" xfId="0" applyFont="1" applyBorder="1"/>
    <xf numFmtId="0" fontId="0" fillId="0" borderId="31" xfId="0" applyFont="1" applyBorder="1"/>
    <xf numFmtId="0" fontId="0" fillId="0" borderId="32" xfId="0" applyFont="1" applyFill="1" applyBorder="1"/>
    <xf numFmtId="0" fontId="0" fillId="0" borderId="32" xfId="0" applyBorder="1"/>
    <xf numFmtId="0" fontId="0" fillId="0" borderId="33" xfId="0" applyBorder="1"/>
    <xf numFmtId="0" fontId="57" fillId="0" borderId="32" xfId="0" applyFont="1" applyFill="1" applyBorder="1"/>
    <xf numFmtId="0" fontId="0" fillId="0" borderId="36" xfId="0" applyFont="1" applyBorder="1"/>
    <xf numFmtId="0" fontId="57" fillId="0" borderId="37" xfId="0" applyFont="1" applyBorder="1"/>
    <xf numFmtId="0" fontId="0" fillId="0" borderId="38" xfId="0" applyFont="1" applyBorder="1"/>
    <xf numFmtId="0" fontId="57" fillId="0" borderId="39" xfId="0" applyFont="1" applyFill="1" applyBorder="1"/>
    <xf numFmtId="0" fontId="0" fillId="0" borderId="40" xfId="0" applyFont="1" applyBorder="1"/>
    <xf numFmtId="0" fontId="72" fillId="0" borderId="22" xfId="0" applyFont="1" applyBorder="1"/>
    <xf numFmtId="0" fontId="72" fillId="0" borderId="24" xfId="0" applyFont="1" applyBorder="1"/>
    <xf numFmtId="0" fontId="75" fillId="0" borderId="17" xfId="0" applyFont="1" applyBorder="1"/>
    <xf numFmtId="0" fontId="75" fillId="0" borderId="19" xfId="0" applyFont="1" applyBorder="1"/>
    <xf numFmtId="0" fontId="0" fillId="0" borderId="41" xfId="0" applyBorder="1"/>
    <xf numFmtId="0" fontId="0" fillId="0" borderId="37" xfId="0" applyFont="1" applyBorder="1"/>
    <xf numFmtId="0" fontId="0" fillId="0" borderId="42" xfId="0" applyFont="1" applyBorder="1"/>
    <xf numFmtId="0" fontId="0" fillId="0" borderId="43" xfId="0" applyFont="1" applyBorder="1"/>
    <xf numFmtId="0" fontId="57" fillId="0" borderId="39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72" fillId="0" borderId="39" xfId="0" applyFont="1" applyFill="1" applyBorder="1"/>
    <xf numFmtId="0" fontId="72" fillId="0" borderId="40" xfId="0" applyFont="1" applyFill="1" applyBorder="1"/>
    <xf numFmtId="0" fontId="72" fillId="0" borderId="45" xfId="0" applyFont="1" applyFill="1" applyBorder="1"/>
    <xf numFmtId="0" fontId="0" fillId="0" borderId="39" xfId="0" applyFont="1" applyFill="1" applyBorder="1"/>
    <xf numFmtId="0" fontId="0" fillId="0" borderId="44" xfId="0" applyFont="1" applyBorder="1"/>
    <xf numFmtId="0" fontId="0" fillId="0" borderId="35" xfId="0" applyFont="1" applyBorder="1"/>
    <xf numFmtId="0" fontId="0" fillId="0" borderId="46" xfId="0" applyFont="1" applyBorder="1"/>
    <xf numFmtId="0" fontId="0" fillId="0" borderId="32" xfId="0" applyFont="1" applyBorder="1"/>
    <xf numFmtId="0" fontId="0" fillId="0" borderId="33" xfId="0" applyFont="1" applyFill="1" applyBorder="1"/>
    <xf numFmtId="0" fontId="0" fillId="0" borderId="47" xfId="0" applyFont="1" applyBorder="1"/>
    <xf numFmtId="0" fontId="0" fillId="0" borderId="48" xfId="0" applyFont="1" applyBorder="1"/>
    <xf numFmtId="0" fontId="0" fillId="0" borderId="49" xfId="0" applyFont="1" applyBorder="1"/>
    <xf numFmtId="0" fontId="75" fillId="0" borderId="22" xfId="0" applyFont="1" applyBorder="1"/>
    <xf numFmtId="0" fontId="75" fillId="0" borderId="23" xfId="0" applyFont="1" applyBorder="1"/>
    <xf numFmtId="0" fontId="75" fillId="0" borderId="24" xfId="0" applyFont="1" applyBorder="1"/>
    <xf numFmtId="14" fontId="0" fillId="0" borderId="0" xfId="0" applyNumberFormat="1" applyFont="1" applyAlignment="1">
      <alignment horizontal="center"/>
    </xf>
    <xf numFmtId="0" fontId="45" fillId="0" borderId="11" xfId="0" applyFont="1" applyBorder="1" applyAlignment="1">
      <alignment horizontal="center"/>
    </xf>
    <xf numFmtId="0" fontId="57" fillId="7" borderId="20" xfId="0" applyFont="1" applyFill="1" applyBorder="1"/>
    <xf numFmtId="0" fontId="57" fillId="7" borderId="16" xfId="0" applyFont="1" applyFill="1" applyBorder="1"/>
    <xf numFmtId="0" fontId="57" fillId="7" borderId="21" xfId="0" applyFont="1" applyFill="1" applyBorder="1"/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45" fillId="0" borderId="40" xfId="0" applyFont="1" applyBorder="1" applyAlignment="1">
      <alignment horizontal="center"/>
    </xf>
    <xf numFmtId="0" fontId="66" fillId="0" borderId="39" xfId="0" applyFont="1" applyFill="1" applyBorder="1" applyAlignment="1">
      <alignment horizontal="center"/>
    </xf>
    <xf numFmtId="0" fontId="76" fillId="0" borderId="0" xfId="0" applyFont="1" applyAlignment="1"/>
    <xf numFmtId="0" fontId="76" fillId="0" borderId="0" xfId="0" applyFont="1" applyAlignment="1">
      <alignment horizontal="center"/>
    </xf>
    <xf numFmtId="0" fontId="77" fillId="0" borderId="0" xfId="0" applyFont="1"/>
    <xf numFmtId="0" fontId="78" fillId="5" borderId="16" xfId="0" applyFont="1" applyFill="1" applyBorder="1" applyAlignment="1">
      <alignment horizontal="center"/>
    </xf>
    <xf numFmtId="0" fontId="73" fillId="0" borderId="16" xfId="0" applyFont="1" applyBorder="1" applyAlignment="1">
      <alignment horizontal="left"/>
    </xf>
    <xf numFmtId="14" fontId="73" fillId="0" borderId="16" xfId="0" applyNumberFormat="1" applyFont="1" applyBorder="1" applyAlignment="1">
      <alignment horizontal="center"/>
    </xf>
    <xf numFmtId="0" fontId="73" fillId="0" borderId="16" xfId="0" applyFont="1" applyBorder="1" applyAlignment="1">
      <alignment horizontal="center"/>
    </xf>
    <xf numFmtId="167" fontId="73" fillId="0" borderId="16" xfId="6" applyNumberFormat="1" applyFont="1" applyBorder="1" applyAlignment="1">
      <alignment horizontal="center"/>
    </xf>
    <xf numFmtId="0" fontId="63" fillId="8" borderId="16" xfId="0" applyFont="1" applyFill="1" applyBorder="1" applyAlignment="1">
      <alignment horizontal="center"/>
    </xf>
    <xf numFmtId="167" fontId="63" fillId="8" borderId="16" xfId="6" applyNumberFormat="1" applyFont="1" applyFill="1" applyBorder="1" applyAlignment="1">
      <alignment horizontal="center"/>
    </xf>
    <xf numFmtId="0" fontId="78" fillId="0" borderId="16" xfId="0" applyFont="1" applyFill="1" applyBorder="1"/>
    <xf numFmtId="0" fontId="73" fillId="0" borderId="16" xfId="0" applyFont="1" applyFill="1" applyBorder="1" applyAlignment="1">
      <alignment horizontal="center"/>
    </xf>
    <xf numFmtId="167" fontId="73" fillId="0" borderId="16" xfId="6" applyNumberFormat="1" applyFont="1" applyFill="1" applyBorder="1"/>
    <xf numFmtId="167" fontId="67" fillId="0" borderId="16" xfId="6" applyNumberFormat="1" applyFont="1" applyBorder="1"/>
    <xf numFmtId="0" fontId="73" fillId="0" borderId="16" xfId="0" applyFont="1" applyBorder="1"/>
    <xf numFmtId="0" fontId="78" fillId="0" borderId="16" xfId="0" applyFont="1" applyBorder="1"/>
    <xf numFmtId="0" fontId="78" fillId="0" borderId="16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167" fontId="67" fillId="0" borderId="16" xfId="6" applyNumberFormat="1" applyFont="1" applyBorder="1" applyAlignment="1">
      <alignment horizontal="center"/>
    </xf>
    <xf numFmtId="0" fontId="80" fillId="0" borderId="16" xfId="0" applyFont="1" applyFill="1" applyBorder="1"/>
    <xf numFmtId="0" fontId="54" fillId="0" borderId="16" xfId="0" applyFont="1" applyFill="1" applyBorder="1"/>
    <xf numFmtId="0" fontId="76" fillId="0" borderId="0" xfId="0" applyFont="1"/>
    <xf numFmtId="0" fontId="81" fillId="5" borderId="16" xfId="0" applyFont="1" applyFill="1" applyBorder="1" applyAlignment="1"/>
    <xf numFmtId="0" fontId="81" fillId="5" borderId="16" xfId="0" applyFont="1" applyFill="1" applyBorder="1" applyAlignment="1">
      <alignment horizontal="center" vertical="center"/>
    </xf>
    <xf numFmtId="0" fontId="81" fillId="5" borderId="16" xfId="0" applyFont="1" applyFill="1" applyBorder="1" applyAlignment="1">
      <alignment horizontal="center"/>
    </xf>
    <xf numFmtId="168" fontId="82" fillId="5" borderId="16" xfId="0" applyNumberFormat="1" applyFont="1" applyFill="1" applyBorder="1" applyAlignment="1">
      <alignment horizontal="center"/>
    </xf>
    <xf numFmtId="0" fontId="81" fillId="5" borderId="16" xfId="0" applyFont="1" applyFill="1" applyBorder="1" applyAlignment="1">
      <alignment horizontal="center" vertical="top"/>
    </xf>
    <xf numFmtId="0" fontId="84" fillId="8" borderId="16" xfId="0" applyFont="1" applyFill="1" applyBorder="1" applyAlignment="1">
      <alignment horizontal="center"/>
    </xf>
    <xf numFmtId="0" fontId="85" fillId="8" borderId="16" xfId="0" applyFont="1" applyFill="1" applyBorder="1" applyAlignment="1">
      <alignment horizontal="center" vertical="center"/>
    </xf>
    <xf numFmtId="168" fontId="82" fillId="8" borderId="16" xfId="2" applyNumberFormat="1" applyFont="1" applyFill="1" applyBorder="1" applyAlignment="1">
      <alignment horizontal="center"/>
    </xf>
    <xf numFmtId="0" fontId="85" fillId="8" borderId="16" xfId="0" applyFont="1" applyFill="1" applyBorder="1" applyAlignment="1">
      <alignment horizontal="center"/>
    </xf>
    <xf numFmtId="168" fontId="82" fillId="8" borderId="16" xfId="2" applyNumberFormat="1" applyFont="1" applyFill="1" applyBorder="1" applyAlignment="1">
      <alignment horizontal="center" vertical="center"/>
    </xf>
    <xf numFmtId="0" fontId="86" fillId="8" borderId="16" xfId="0" applyFont="1" applyFill="1" applyBorder="1" applyAlignment="1">
      <alignment horizontal="center"/>
    </xf>
    <xf numFmtId="167" fontId="86" fillId="8" borderId="16" xfId="6" applyNumberFormat="1" applyFont="1" applyFill="1" applyBorder="1" applyAlignment="1">
      <alignment horizontal="center"/>
    </xf>
    <xf numFmtId="168" fontId="82" fillId="8" borderId="16" xfId="0" applyNumberFormat="1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167" fontId="85" fillId="8" borderId="16" xfId="6" applyNumberFormat="1" applyFont="1" applyFill="1" applyBorder="1" applyAlignment="1"/>
    <xf numFmtId="168" fontId="85" fillId="8" borderId="16" xfId="6" applyNumberFormat="1" applyFont="1" applyFill="1" applyBorder="1" applyAlignment="1">
      <alignment horizontal="right"/>
    </xf>
    <xf numFmtId="167" fontId="85" fillId="0" borderId="16" xfId="6" applyNumberFormat="1" applyFont="1" applyBorder="1" applyAlignment="1">
      <alignment horizontal="right"/>
    </xf>
    <xf numFmtId="0" fontId="85" fillId="0" borderId="16" xfId="0" applyFont="1" applyBorder="1"/>
    <xf numFmtId="0" fontId="85" fillId="0" borderId="16" xfId="0" applyFont="1" applyBorder="1" applyAlignment="1">
      <alignment horizontal="center"/>
    </xf>
    <xf numFmtId="0" fontId="85" fillId="0" borderId="16" xfId="0" applyFont="1" applyBorder="1" applyAlignment="1">
      <alignment horizontal="right" vertical="center"/>
    </xf>
    <xf numFmtId="168" fontId="85" fillId="0" borderId="16" xfId="6" applyNumberFormat="1" applyFont="1" applyBorder="1" applyAlignment="1">
      <alignment horizontal="right"/>
    </xf>
    <xf numFmtId="0" fontId="85" fillId="9" borderId="16" xfId="0" applyFont="1" applyFill="1" applyBorder="1"/>
    <xf numFmtId="0" fontId="85" fillId="9" borderId="16" xfId="0" applyFont="1" applyFill="1" applyBorder="1" applyAlignment="1">
      <alignment horizontal="right"/>
    </xf>
    <xf numFmtId="168" fontId="82" fillId="9" borderId="16" xfId="6" applyNumberFormat="1" applyFont="1" applyFill="1" applyBorder="1" applyAlignment="1">
      <alignment horizontal="center"/>
    </xf>
    <xf numFmtId="14" fontId="83" fillId="8" borderId="16" xfId="0" applyNumberFormat="1" applyFont="1" applyFill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51" xfId="0" applyFont="1" applyBorder="1" applyAlignment="1">
      <alignment horizontal="center"/>
    </xf>
    <xf numFmtId="0" fontId="87" fillId="0" borderId="16" xfId="0" applyFont="1" applyBorder="1" applyAlignment="1">
      <alignment horizontal="center" vertical="center" wrapText="1"/>
    </xf>
    <xf numFmtId="0" fontId="87" fillId="0" borderId="16" xfId="0" applyFont="1" applyBorder="1" applyAlignment="1">
      <alignment horizontal="center" vertical="center"/>
    </xf>
    <xf numFmtId="0" fontId="66" fillId="0" borderId="16" xfId="0" applyFont="1" applyBorder="1" applyAlignment="1">
      <alignment horizontal="center" vertical="center"/>
    </xf>
    <xf numFmtId="167" fontId="68" fillId="0" borderId="16" xfId="6" applyNumberFormat="1" applyFont="1" applyBorder="1"/>
    <xf numFmtId="167" fontId="0" fillId="0" borderId="16" xfId="6" applyNumberFormat="1" applyFont="1" applyBorder="1"/>
    <xf numFmtId="42" fontId="68" fillId="0" borderId="16" xfId="0" applyNumberFormat="1" applyFont="1" applyBorder="1"/>
    <xf numFmtId="42" fontId="57" fillId="0" borderId="16" xfId="0" applyNumberFormat="1" applyFont="1" applyBorder="1"/>
    <xf numFmtId="167" fontId="68" fillId="0" borderId="16" xfId="6" applyNumberFormat="1" applyFont="1" applyBorder="1" applyAlignment="1">
      <alignment horizontal="center"/>
    </xf>
    <xf numFmtId="167" fontId="0" fillId="0" borderId="16" xfId="6" applyNumberFormat="1" applyFont="1" applyBorder="1" applyAlignment="1">
      <alignment horizontal="center"/>
    </xf>
    <xf numFmtId="0" fontId="57" fillId="0" borderId="16" xfId="0" applyFont="1" applyFill="1" applyBorder="1"/>
    <xf numFmtId="42" fontId="66" fillId="0" borderId="16" xfId="0" applyNumberFormat="1" applyFont="1" applyBorder="1"/>
    <xf numFmtId="0" fontId="57" fillId="0" borderId="0" xfId="0" applyFont="1" applyFill="1" applyBorder="1"/>
    <xf numFmtId="42" fontId="57" fillId="0" borderId="0" xfId="0" applyNumberFormat="1" applyFont="1" applyBorder="1"/>
    <xf numFmtId="42" fontId="45" fillId="0" borderId="16" xfId="0" applyNumberFormat="1" applyFont="1" applyBorder="1"/>
    <xf numFmtId="42" fontId="0" fillId="0" borderId="0" xfId="0" applyNumberFormat="1" applyFont="1"/>
    <xf numFmtId="0" fontId="88" fillId="8" borderId="16" xfId="0" applyFont="1" applyFill="1" applyBorder="1" applyAlignment="1">
      <alignment horizontal="center" vertical="center"/>
    </xf>
    <xf numFmtId="0" fontId="66" fillId="0" borderId="9" xfId="0" applyFont="1" applyBorder="1" applyAlignment="1">
      <alignment horizontal="left"/>
    </xf>
    <xf numFmtId="164" fontId="66" fillId="0" borderId="10" xfId="0" applyNumberFormat="1" applyFont="1" applyBorder="1" applyAlignment="1">
      <alignment horizontal="left"/>
    </xf>
    <xf numFmtId="164" fontId="66" fillId="0" borderId="12" xfId="0" applyNumberFormat="1" applyFont="1" applyBorder="1" applyAlignment="1">
      <alignment horizontal="left"/>
    </xf>
    <xf numFmtId="0" fontId="40" fillId="0" borderId="16" xfId="0" applyFont="1" applyBorder="1" applyAlignment="1">
      <alignment vertical="center"/>
    </xf>
    <xf numFmtId="0" fontId="36" fillId="0" borderId="16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36" fillId="0" borderId="21" xfId="0" applyFont="1" applyBorder="1" applyAlignment="1">
      <alignment vertical="center"/>
    </xf>
    <xf numFmtId="0" fontId="40" fillId="0" borderId="22" xfId="0" applyFont="1" applyBorder="1" applyAlignment="1">
      <alignment vertical="center"/>
    </xf>
    <xf numFmtId="0" fontId="40" fillId="0" borderId="23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0" fillId="5" borderId="8" xfId="0" applyFont="1" applyFill="1" applyBorder="1" applyAlignment="1">
      <alignment horizontal="center"/>
    </xf>
    <xf numFmtId="164" fontId="40" fillId="0" borderId="22" xfId="5" applyNumberFormat="1" applyFont="1" applyBorder="1" applyAlignment="1">
      <alignment vertical="center"/>
    </xf>
    <xf numFmtId="164" fontId="40" fillId="0" borderId="19" xfId="5" applyNumberFormat="1" applyFont="1" applyBorder="1" applyAlignment="1">
      <alignment vertical="center"/>
    </xf>
    <xf numFmtId="0" fontId="89" fillId="0" borderId="0" xfId="0" applyFont="1" applyAlignment="1">
      <alignment horizontal="left"/>
    </xf>
    <xf numFmtId="0" fontId="89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40" fillId="0" borderId="24" xfId="0" applyNumberFormat="1" applyFont="1" applyBorder="1" applyAlignment="1">
      <alignment vertical="center"/>
    </xf>
    <xf numFmtId="0" fontId="58" fillId="0" borderId="0" xfId="0" applyFont="1" applyAlignment="1">
      <alignment horizontal="center" vertical="center"/>
    </xf>
    <xf numFmtId="0" fontId="83" fillId="8" borderId="16" xfId="0" applyFont="1" applyFill="1" applyBorder="1" applyAlignment="1">
      <alignment horizontal="center" vertical="center"/>
    </xf>
    <xf numFmtId="164" fontId="0" fillId="2" borderId="0" xfId="0" applyNumberFormat="1" applyFont="1" applyFill="1" applyBorder="1" applyAlignment="1">
      <alignment horizontal="left"/>
    </xf>
    <xf numFmtId="0" fontId="62" fillId="0" borderId="0" xfId="0" applyFont="1"/>
    <xf numFmtId="0" fontId="90" fillId="0" borderId="0" xfId="0" applyFont="1" applyAlignment="1">
      <alignment horizontal="center"/>
    </xf>
    <xf numFmtId="0" fontId="85" fillId="0" borderId="48" xfId="0" applyFont="1" applyBorder="1" applyAlignment="1">
      <alignment horizontal="center"/>
    </xf>
    <xf numFmtId="14" fontId="0" fillId="0" borderId="0" xfId="0" applyNumberFormat="1" applyFont="1"/>
    <xf numFmtId="0" fontId="35" fillId="0" borderId="16" xfId="0" applyFont="1" applyBorder="1" applyAlignment="1">
      <alignment vertical="center"/>
    </xf>
    <xf numFmtId="0" fontId="35" fillId="0" borderId="20" xfId="0" applyFont="1" applyBorder="1" applyAlignment="1">
      <alignment vertical="center"/>
    </xf>
    <xf numFmtId="0" fontId="40" fillId="0" borderId="21" xfId="0" applyFont="1" applyBorder="1" applyAlignment="1">
      <alignment vertical="center"/>
    </xf>
    <xf numFmtId="0" fontId="40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/>
    </xf>
    <xf numFmtId="0" fontId="0" fillId="0" borderId="22" xfId="0" applyFont="1" applyBorder="1" applyAlignment="1">
      <alignment horizontal="left"/>
    </xf>
    <xf numFmtId="0" fontId="0" fillId="0" borderId="23" xfId="0" applyFont="1" applyBorder="1" applyAlignment="1">
      <alignment horizontal="left"/>
    </xf>
    <xf numFmtId="0" fontId="0" fillId="0" borderId="24" xfId="0" applyFont="1" applyBorder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left"/>
    </xf>
    <xf numFmtId="0" fontId="34" fillId="0" borderId="0" xfId="0" applyFont="1" applyAlignment="1">
      <alignment vertical="center"/>
    </xf>
    <xf numFmtId="0" fontId="34" fillId="0" borderId="0" xfId="0" applyFont="1" applyBorder="1" applyAlignment="1">
      <alignment horizontal="left"/>
    </xf>
    <xf numFmtId="0" fontId="66" fillId="0" borderId="16" xfId="0" applyFont="1" applyBorder="1" applyAlignment="1">
      <alignment vertical="center"/>
    </xf>
    <xf numFmtId="164" fontId="66" fillId="0" borderId="16" xfId="0" applyNumberFormat="1" applyFont="1" applyBorder="1" applyAlignment="1">
      <alignment vertical="center"/>
    </xf>
    <xf numFmtId="164" fontId="66" fillId="0" borderId="10" xfId="5" applyNumberFormat="1" applyFont="1" applyBorder="1" applyAlignment="1">
      <alignment horizontal="left"/>
    </xf>
    <xf numFmtId="0" fontId="62" fillId="0" borderId="0" xfId="0" applyFont="1"/>
    <xf numFmtId="0" fontId="32" fillId="0" borderId="0" xfId="0" applyFont="1"/>
    <xf numFmtId="0" fontId="90" fillId="0" borderId="0" xfId="0" applyFont="1"/>
    <xf numFmtId="0" fontId="0" fillId="0" borderId="20" xfId="0" applyFont="1" applyBorder="1" applyAlignment="1">
      <alignment horizontal="left"/>
    </xf>
    <xf numFmtId="164" fontId="0" fillId="0" borderId="21" xfId="0" applyNumberFormat="1" applyFont="1" applyBorder="1" applyAlignment="1">
      <alignment horizontal="left"/>
    </xf>
    <xf numFmtId="0" fontId="66" fillId="0" borderId="39" xfId="0" applyFont="1" applyBorder="1" applyAlignment="1">
      <alignment vertical="center"/>
    </xf>
    <xf numFmtId="164" fontId="66" fillId="0" borderId="40" xfId="0" applyNumberFormat="1" applyFont="1" applyBorder="1" applyAlignment="1">
      <alignment vertical="center"/>
    </xf>
    <xf numFmtId="6" fontId="49" fillId="0" borderId="31" xfId="0" applyNumberFormat="1" applyFont="1" applyBorder="1"/>
    <xf numFmtId="0" fontId="49" fillId="0" borderId="33" xfId="0" applyFont="1" applyBorder="1"/>
    <xf numFmtId="0" fontId="49" fillId="0" borderId="17" xfId="0" applyFont="1" applyBorder="1"/>
    <xf numFmtId="0" fontId="49" fillId="0" borderId="18" xfId="0" applyFont="1" applyBorder="1"/>
    <xf numFmtId="6" fontId="49" fillId="0" borderId="18" xfId="0" applyNumberFormat="1" applyFont="1" applyBorder="1"/>
    <xf numFmtId="6" fontId="49" fillId="0" borderId="19" xfId="0" applyNumberFormat="1" applyFont="1" applyBorder="1"/>
    <xf numFmtId="0" fontId="49" fillId="0" borderId="22" xfId="0" applyFont="1" applyBorder="1"/>
    <xf numFmtId="0" fontId="49" fillId="0" borderId="23" xfId="0" applyFont="1" applyBorder="1"/>
    <xf numFmtId="0" fontId="49" fillId="0" borderId="24" xfId="0" applyFont="1" applyBorder="1"/>
    <xf numFmtId="0" fontId="90" fillId="0" borderId="0" xfId="0" applyFont="1" applyAlignment="1">
      <alignment horizontal="left"/>
    </xf>
    <xf numFmtId="0" fontId="30" fillId="0" borderId="0" xfId="0" applyFont="1"/>
    <xf numFmtId="0" fontId="93" fillId="0" borderId="0" xfId="0" applyFont="1" applyAlignment="1">
      <alignment horizontal="center"/>
    </xf>
    <xf numFmtId="0" fontId="90" fillId="0" borderId="0" xfId="0" applyFont="1" applyAlignme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/>
    <xf numFmtId="0" fontId="29" fillId="0" borderId="0" xfId="0" applyFont="1" applyBorder="1" applyAlignment="1">
      <alignment horizontal="left"/>
    </xf>
    <xf numFmtId="14" fontId="90" fillId="0" borderId="0" xfId="0" applyNumberFormat="1" applyFont="1" applyAlignment="1">
      <alignment horizontal="center"/>
    </xf>
    <xf numFmtId="0" fontId="29" fillId="0" borderId="0" xfId="0" applyFont="1" applyAlignment="1"/>
    <xf numFmtId="14" fontId="90" fillId="0" borderId="0" xfId="0" applyNumberFormat="1" applyFont="1" applyAlignment="1">
      <alignment horizontal="center" vertical="top"/>
    </xf>
    <xf numFmtId="0" fontId="90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28" fillId="0" borderId="0" xfId="0" applyFont="1"/>
    <xf numFmtId="0" fontId="28" fillId="0" borderId="0" xfId="0" applyFont="1" applyAlignment="1"/>
    <xf numFmtId="0" fontId="28" fillId="0" borderId="0" xfId="0" applyFont="1" applyAlignment="1">
      <alignment horizontal="center" vertical="center"/>
    </xf>
    <xf numFmtId="0" fontId="58" fillId="0" borderId="0" xfId="0" applyFont="1" applyAlignment="1">
      <alignment horizontal="center"/>
    </xf>
    <xf numFmtId="0" fontId="9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4" fontId="28" fillId="0" borderId="0" xfId="0" applyNumberFormat="1" applyFont="1" applyAlignment="1">
      <alignment horizontal="center" vertical="top"/>
    </xf>
    <xf numFmtId="14" fontId="28" fillId="0" borderId="0" xfId="0" applyNumberFormat="1" applyFont="1" applyAlignment="1">
      <alignment horizontal="center"/>
    </xf>
    <xf numFmtId="0" fontId="92" fillId="0" borderId="0" xfId="0" applyFont="1"/>
    <xf numFmtId="0" fontId="92" fillId="0" borderId="0" xfId="0" applyFont="1" applyAlignment="1">
      <alignment horizontal="center"/>
    </xf>
    <xf numFmtId="0" fontId="28" fillId="0" borderId="0" xfId="0" applyFont="1" applyAlignment="1">
      <alignment horizontal="center" vertical="top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24" fillId="0" borderId="0" xfId="0" applyFont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72" fillId="0" borderId="20" xfId="0" applyFont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0" fillId="0" borderId="43" xfId="0" applyFont="1" applyBorder="1" applyAlignment="1">
      <alignment horizontal="center"/>
    </xf>
    <xf numFmtId="0" fontId="72" fillId="0" borderId="22" xfId="0" applyFont="1" applyBorder="1" applyAlignment="1">
      <alignment horizontal="center"/>
    </xf>
    <xf numFmtId="0" fontId="72" fillId="0" borderId="24" xfId="0" applyFont="1" applyBorder="1" applyAlignment="1">
      <alignment horizontal="center"/>
    </xf>
    <xf numFmtId="0" fontId="72" fillId="0" borderId="39" xfId="0" applyFont="1" applyFill="1" applyBorder="1" applyAlignment="1">
      <alignment horizontal="center"/>
    </xf>
    <xf numFmtId="0" fontId="72" fillId="0" borderId="40" xfId="0" applyFont="1" applyFill="1" applyBorder="1" applyAlignment="1">
      <alignment horizont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94" fillId="0" borderId="0" xfId="0" applyFont="1"/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51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/>
    </xf>
    <xf numFmtId="0" fontId="15" fillId="0" borderId="0" xfId="0" applyFont="1" applyAlignment="1">
      <alignment horizontal="center"/>
    </xf>
    <xf numFmtId="14" fontId="15" fillId="0" borderId="0" xfId="0" applyNumberFormat="1" applyFont="1" applyAlignment="1">
      <alignment horizontal="center" vertical="top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 vertical="top"/>
    </xf>
    <xf numFmtId="0" fontId="13" fillId="0" borderId="0" xfId="0" applyFont="1" applyAlignment="1">
      <alignment horizontal="left"/>
    </xf>
    <xf numFmtId="0" fontId="13" fillId="0" borderId="0" xfId="0" applyFont="1"/>
    <xf numFmtId="0" fontId="13" fillId="0" borderId="0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52" xfId="0" applyFont="1" applyBorder="1" applyAlignment="1"/>
    <xf numFmtId="0" fontId="0" fillId="0" borderId="34" xfId="0" applyFont="1" applyBorder="1" applyAlignment="1"/>
    <xf numFmtId="0" fontId="40" fillId="0" borderId="29" xfId="0" applyFont="1" applyBorder="1" applyAlignment="1">
      <alignment vertical="center"/>
    </xf>
    <xf numFmtId="0" fontId="0" fillId="0" borderId="17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6" fillId="8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7" fontId="0" fillId="0" borderId="5" xfId="6" applyNumberFormat="1" applyFont="1" applyBorder="1" applyAlignment="1">
      <alignment horizontal="left"/>
    </xf>
    <xf numFmtId="167" fontId="0" fillId="0" borderId="10" xfId="6" applyNumberFormat="1" applyFont="1" applyBorder="1" applyAlignment="1">
      <alignment vertical="center"/>
    </xf>
    <xf numFmtId="164" fontId="68" fillId="0" borderId="16" xfId="0" applyNumberFormat="1" applyFont="1" applyBorder="1"/>
    <xf numFmtId="0" fontId="1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0" fontId="57" fillId="0" borderId="27" xfId="0" applyFont="1" applyBorder="1"/>
    <xf numFmtId="0" fontId="57" fillId="0" borderId="42" xfId="0" applyFont="1" applyBorder="1"/>
    <xf numFmtId="0" fontId="57" fillId="0" borderId="45" xfId="0" applyFont="1" applyFill="1" applyBorder="1"/>
    <xf numFmtId="0" fontId="46" fillId="0" borderId="16" xfId="0" applyFont="1" applyBorder="1"/>
    <xf numFmtId="0" fontId="46" fillId="0" borderId="16" xfId="0" applyFont="1" applyBorder="1" applyAlignment="1">
      <alignment horizontal="center"/>
    </xf>
    <xf numFmtId="0" fontId="0" fillId="0" borderId="16" xfId="0" applyFont="1" applyBorder="1" applyAlignment="1">
      <alignment horizontal="left"/>
    </xf>
    <xf numFmtId="0" fontId="49" fillId="0" borderId="16" xfId="0" applyFont="1" applyBorder="1" applyAlignment="1">
      <alignment horizontal="center"/>
    </xf>
    <xf numFmtId="0" fontId="0" fillId="5" borderId="16" xfId="0" applyFont="1" applyFill="1" applyBorder="1"/>
    <xf numFmtId="14" fontId="14" fillId="0" borderId="16" xfId="0" applyNumberFormat="1" applyFont="1" applyBorder="1" applyAlignment="1">
      <alignment horizontal="center"/>
    </xf>
    <xf numFmtId="0" fontId="29" fillId="0" borderId="16" xfId="0" applyFont="1" applyBorder="1" applyAlignment="1">
      <alignment horizontal="left"/>
    </xf>
    <xf numFmtId="0" fontId="29" fillId="0" borderId="16" xfId="0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165" fontId="90" fillId="0" borderId="16" xfId="5" applyNumberFormat="1" applyFont="1" applyBorder="1" applyAlignment="1">
      <alignment horizontal="center"/>
    </xf>
    <xf numFmtId="0" fontId="29" fillId="0" borderId="16" xfId="0" applyFont="1" applyBorder="1"/>
    <xf numFmtId="0" fontId="62" fillId="0" borderId="16" xfId="0" applyFont="1" applyBorder="1" applyAlignment="1">
      <alignment horizontal="left"/>
    </xf>
    <xf numFmtId="0" fontId="62" fillId="0" borderId="16" xfId="0" applyFont="1" applyBorder="1" applyAlignment="1"/>
    <xf numFmtId="0" fontId="25" fillId="0" borderId="16" xfId="0" applyFont="1" applyBorder="1" applyAlignment="1">
      <alignment horizontal="left"/>
    </xf>
    <xf numFmtId="165" fontId="29" fillId="0" borderId="16" xfId="5" applyNumberFormat="1" applyFont="1" applyBorder="1" applyAlignment="1">
      <alignment horizontal="center"/>
    </xf>
    <xf numFmtId="0" fontId="29" fillId="0" borderId="16" xfId="0" applyFont="1" applyBorder="1" applyAlignment="1"/>
    <xf numFmtId="0" fontId="25" fillId="0" borderId="16" xfId="0" applyFont="1" applyBorder="1" applyAlignment="1">
      <alignment horizontal="center"/>
    </xf>
    <xf numFmtId="165" fontId="68" fillId="0" borderId="16" xfId="5" applyNumberFormat="1" applyFont="1" applyBorder="1" applyAlignment="1">
      <alignment horizontal="center"/>
    </xf>
    <xf numFmtId="0" fontId="90" fillId="0" borderId="16" xfId="0" applyFont="1" applyBorder="1" applyAlignment="1">
      <alignment horizontal="left"/>
    </xf>
    <xf numFmtId="165" fontId="25" fillId="0" borderId="16" xfId="5" applyNumberFormat="1" applyFont="1" applyBorder="1" applyAlignment="1">
      <alignment horizontal="center"/>
    </xf>
    <xf numFmtId="0" fontId="25" fillId="0" borderId="16" xfId="0" applyFont="1" applyBorder="1" applyAlignment="1"/>
    <xf numFmtId="0" fontId="62" fillId="0" borderId="16" xfId="0" applyFont="1" applyBorder="1" applyAlignment="1">
      <alignment horizontal="center"/>
    </xf>
    <xf numFmtId="165" fontId="0" fillId="0" borderId="16" xfId="5" applyNumberFormat="1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16" xfId="0" applyFont="1" applyBorder="1" applyAlignment="1"/>
    <xf numFmtId="0" fontId="16" fillId="0" borderId="16" xfId="0" applyFont="1" applyBorder="1" applyAlignment="1"/>
    <xf numFmtId="0" fontId="23" fillId="0" borderId="16" xfId="0" applyFont="1" applyBorder="1" applyAlignment="1">
      <alignment horizontal="left"/>
    </xf>
    <xf numFmtId="0" fontId="23" fillId="0" borderId="16" xfId="0" applyFont="1" applyBorder="1" applyAlignment="1">
      <alignment horizontal="center"/>
    </xf>
    <xf numFmtId="0" fontId="23" fillId="0" borderId="16" xfId="0" applyFont="1" applyBorder="1" applyAlignment="1"/>
    <xf numFmtId="0" fontId="21" fillId="0" borderId="16" xfId="0" applyFont="1" applyBorder="1" applyAlignment="1">
      <alignment horizontal="left"/>
    </xf>
    <xf numFmtId="0" fontId="21" fillId="0" borderId="16" xfId="0" applyFont="1" applyBorder="1" applyAlignment="1">
      <alignment horizontal="center"/>
    </xf>
    <xf numFmtId="165" fontId="21" fillId="0" borderId="16" xfId="5" applyNumberFormat="1" applyFont="1" applyBorder="1" applyAlignment="1">
      <alignment horizontal="center"/>
    </xf>
    <xf numFmtId="0" fontId="21" fillId="0" borderId="16" xfId="0" applyFont="1" applyBorder="1" applyAlignment="1"/>
    <xf numFmtId="0" fontId="0" fillId="0" borderId="16" xfId="0" applyFont="1" applyBorder="1" applyAlignment="1"/>
    <xf numFmtId="0" fontId="19" fillId="0" borderId="16" xfId="0" applyFont="1" applyBorder="1" applyAlignment="1">
      <alignment horizontal="left"/>
    </xf>
    <xf numFmtId="0" fontId="19" fillId="0" borderId="16" xfId="0" applyFont="1" applyBorder="1" applyAlignment="1">
      <alignment horizontal="center"/>
    </xf>
    <xf numFmtId="165" fontId="19" fillId="0" borderId="16" xfId="5" applyNumberFormat="1" applyFont="1" applyBorder="1" applyAlignment="1">
      <alignment horizontal="center"/>
    </xf>
    <xf numFmtId="0" fontId="19" fillId="0" borderId="16" xfId="0" applyFont="1" applyBorder="1" applyAlignment="1"/>
    <xf numFmtId="14" fontId="14" fillId="0" borderId="16" xfId="0" applyNumberFormat="1" applyFont="1" applyBorder="1" applyAlignment="1">
      <alignment horizontal="center" vertical="top"/>
    </xf>
    <xf numFmtId="0" fontId="90" fillId="0" borderId="16" xfId="0" applyFont="1" applyBorder="1" applyAlignment="1"/>
    <xf numFmtId="0" fontId="28" fillId="0" borderId="16" xfId="0" applyFont="1" applyBorder="1" applyAlignment="1">
      <alignment horizontal="center"/>
    </xf>
    <xf numFmtId="166" fontId="49" fillId="0" borderId="16" xfId="0" applyNumberFormat="1" applyFont="1" applyBorder="1" applyAlignment="1">
      <alignment horizontal="center"/>
    </xf>
    <xf numFmtId="0" fontId="49" fillId="0" borderId="16" xfId="0" applyNumberFormat="1" applyFont="1" applyBorder="1" applyAlignment="1">
      <alignment horizontal="center"/>
    </xf>
    <xf numFmtId="0" fontId="14" fillId="0" borderId="16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166" fontId="14" fillId="0" borderId="16" xfId="0" applyNumberFormat="1" applyFont="1" applyBorder="1" applyAlignment="1">
      <alignment horizontal="center"/>
    </xf>
    <xf numFmtId="0" fontId="14" fillId="0" borderId="16" xfId="0" applyFont="1" applyBorder="1" applyAlignment="1"/>
    <xf numFmtId="0" fontId="13" fillId="0" borderId="16" xfId="0" applyFont="1" applyBorder="1" applyAlignment="1">
      <alignment horizontal="center"/>
    </xf>
    <xf numFmtId="14" fontId="12" fillId="0" borderId="16" xfId="0" applyNumberFormat="1" applyFont="1" applyBorder="1" applyAlignment="1">
      <alignment horizontal="center"/>
    </xf>
    <xf numFmtId="0" fontId="12" fillId="0" borderId="16" xfId="0" applyFont="1" applyBorder="1" applyAlignment="1">
      <alignment horizontal="left"/>
    </xf>
    <xf numFmtId="0" fontId="12" fillId="0" borderId="16" xfId="0" applyFont="1" applyBorder="1" applyAlignment="1">
      <alignment horizontal="center"/>
    </xf>
    <xf numFmtId="0" fontId="12" fillId="0" borderId="16" xfId="0" applyFont="1" applyBorder="1" applyAlignment="1"/>
    <xf numFmtId="0" fontId="12" fillId="0" borderId="16" xfId="0" applyFont="1" applyFill="1" applyBorder="1" applyAlignment="1">
      <alignment horizontal="left"/>
    </xf>
    <xf numFmtId="0" fontId="58" fillId="0" borderId="16" xfId="0" applyFont="1" applyBorder="1" applyAlignment="1">
      <alignment horizontal="center"/>
    </xf>
    <xf numFmtId="14" fontId="10" fillId="0" borderId="16" xfId="0" applyNumberFormat="1" applyFont="1" applyBorder="1" applyAlignment="1">
      <alignment horizontal="center"/>
    </xf>
    <xf numFmtId="0" fontId="10" fillId="0" borderId="16" xfId="0" applyFont="1" applyBorder="1" applyAlignment="1">
      <alignment horizontal="left"/>
    </xf>
    <xf numFmtId="0" fontId="10" fillId="0" borderId="16" xfId="0" applyFont="1" applyBorder="1" applyAlignment="1">
      <alignment horizontal="center"/>
    </xf>
    <xf numFmtId="165" fontId="10" fillId="0" borderId="16" xfId="5" applyNumberFormat="1" applyFont="1" applyBorder="1" applyAlignment="1"/>
    <xf numFmtId="0" fontId="10" fillId="0" borderId="16" xfId="0" applyFont="1" applyBorder="1" applyAlignment="1"/>
    <xf numFmtId="14" fontId="3" fillId="0" borderId="16" xfId="0" applyNumberFormat="1" applyFont="1" applyBorder="1" applyAlignment="1">
      <alignment horizontal="center"/>
    </xf>
    <xf numFmtId="0" fontId="3" fillId="0" borderId="16" xfId="0" applyFont="1" applyBorder="1" applyAlignment="1">
      <alignment horizontal="left"/>
    </xf>
    <xf numFmtId="0" fontId="6" fillId="0" borderId="16" xfId="0" applyFont="1" applyBorder="1" applyAlignment="1">
      <alignment horizontal="center"/>
    </xf>
    <xf numFmtId="0" fontId="6" fillId="0" borderId="16" xfId="0" applyFont="1" applyBorder="1" applyAlignment="1"/>
    <xf numFmtId="0" fontId="6" fillId="0" borderId="16" xfId="0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6" xfId="0" applyFont="1" applyBorder="1" applyAlignment="1"/>
    <xf numFmtId="14" fontId="0" fillId="0" borderId="16" xfId="0" applyNumberFormat="1" applyFont="1" applyBorder="1" applyAlignment="1">
      <alignment horizontal="center"/>
    </xf>
    <xf numFmtId="0" fontId="33" fillId="0" borderId="16" xfId="0" applyFont="1" applyBorder="1" applyAlignment="1">
      <alignment horizontal="left"/>
    </xf>
    <xf numFmtId="0" fontId="31" fillId="0" borderId="16" xfId="0" applyFont="1" applyBorder="1" applyAlignment="1">
      <alignment horizontal="left"/>
    </xf>
    <xf numFmtId="14" fontId="30" fillId="0" borderId="16" xfId="0" applyNumberFormat="1" applyFont="1" applyBorder="1" applyAlignment="1">
      <alignment horizontal="left"/>
    </xf>
    <xf numFmtId="0" fontId="30" fillId="0" borderId="16" xfId="0" applyFont="1" applyBorder="1" applyAlignment="1">
      <alignment horizontal="left"/>
    </xf>
    <xf numFmtId="0" fontId="0" fillId="0" borderId="16" xfId="0" applyFont="1" applyBorder="1" applyAlignment="1">
      <alignment horizontal="center" vertical="top"/>
    </xf>
    <xf numFmtId="0" fontId="49" fillId="0" borderId="16" xfId="0" applyFont="1" applyBorder="1" applyAlignment="1">
      <alignment horizontal="left"/>
    </xf>
    <xf numFmtId="0" fontId="49" fillId="0" borderId="16" xfId="0" applyFont="1" applyBorder="1" applyAlignment="1"/>
    <xf numFmtId="0" fontId="66" fillId="0" borderId="16" xfId="0" applyFont="1" applyBorder="1" applyAlignment="1">
      <alignment horizontal="left"/>
    </xf>
    <xf numFmtId="0" fontId="66" fillId="0" borderId="16" xfId="0" applyFont="1" applyBorder="1" applyAlignment="1">
      <alignment horizontal="center"/>
    </xf>
    <xf numFmtId="0" fontId="45" fillId="0" borderId="16" xfId="0" applyFont="1" applyBorder="1"/>
    <xf numFmtId="17" fontId="96" fillId="0" borderId="16" xfId="0" applyNumberFormat="1" applyFont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17" fontId="96" fillId="0" borderId="19" xfId="0" applyNumberFormat="1" applyFont="1" applyBorder="1" applyAlignment="1">
      <alignment horizontal="center" vertical="center"/>
    </xf>
    <xf numFmtId="0" fontId="96" fillId="0" borderId="21" xfId="0" applyNumberFormat="1" applyFont="1" applyBorder="1" applyAlignment="1">
      <alignment horizontal="center" vertical="center"/>
    </xf>
    <xf numFmtId="17" fontId="96" fillId="0" borderId="23" xfId="0" applyNumberFormat="1" applyFont="1" applyBorder="1" applyAlignment="1">
      <alignment horizontal="center" vertical="center"/>
    </xf>
    <xf numFmtId="0" fontId="96" fillId="0" borderId="24" xfId="0" applyNumberFormat="1" applyFont="1" applyBorder="1" applyAlignment="1">
      <alignment horizontal="center" vertical="center"/>
    </xf>
    <xf numFmtId="17" fontId="95" fillId="0" borderId="0" xfId="0" applyNumberFormat="1" applyFont="1" applyBorder="1" applyAlignment="1">
      <alignment horizontal="center" vertical="center"/>
    </xf>
    <xf numFmtId="0" fontId="57" fillId="0" borderId="18" xfId="0" applyFont="1" applyBorder="1" applyAlignment="1">
      <alignment horizontal="center"/>
    </xf>
    <xf numFmtId="0" fontId="57" fillId="0" borderId="19" xfId="0" applyFont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57" fillId="0" borderId="17" xfId="0" applyFont="1" applyBorder="1" applyAlignment="1">
      <alignment horizontal="center"/>
    </xf>
    <xf numFmtId="0" fontId="57" fillId="0" borderId="9" xfId="0" applyFont="1" applyFill="1" applyBorder="1" applyAlignment="1">
      <alignment horizontal="center"/>
    </xf>
    <xf numFmtId="0" fontId="57" fillId="0" borderId="11" xfId="0" applyFont="1" applyFill="1" applyBorder="1" applyAlignment="1">
      <alignment horizontal="center"/>
    </xf>
    <xf numFmtId="0" fontId="57" fillId="0" borderId="10" xfId="0" applyFont="1" applyFill="1" applyBorder="1" applyAlignment="1">
      <alignment horizontal="center"/>
    </xf>
    <xf numFmtId="0" fontId="57" fillId="0" borderId="25" xfId="0" applyFont="1" applyBorder="1" applyAlignment="1">
      <alignment horizontal="center"/>
    </xf>
    <xf numFmtId="0" fontId="57" fillId="0" borderId="34" xfId="0" applyFont="1" applyBorder="1" applyAlignment="1">
      <alignment horizontal="center"/>
    </xf>
    <xf numFmtId="0" fontId="57" fillId="0" borderId="9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7" fillId="0" borderId="1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95" fillId="9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9" fillId="0" borderId="39" xfId="0" applyFont="1" applyBorder="1" applyAlignment="1">
      <alignment horizontal="center"/>
    </xf>
    <xf numFmtId="0" fontId="49" fillId="0" borderId="44" xfId="0" applyFont="1" applyBorder="1" applyAlignment="1">
      <alignment horizontal="center"/>
    </xf>
    <xf numFmtId="0" fontId="49" fillId="0" borderId="40" xfId="0" applyFont="1" applyBorder="1" applyAlignment="1">
      <alignment horizontal="center"/>
    </xf>
    <xf numFmtId="0" fontId="66" fillId="0" borderId="17" xfId="0" applyFont="1" applyBorder="1" applyAlignment="1">
      <alignment horizontal="center"/>
    </xf>
    <xf numFmtId="0" fontId="66" fillId="0" borderId="19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57" fillId="0" borderId="54" xfId="0" applyFont="1" applyBorder="1" applyAlignment="1">
      <alignment horizontal="center"/>
    </xf>
    <xf numFmtId="0" fontId="66" fillId="0" borderId="9" xfId="0" applyFont="1" applyBorder="1" applyAlignment="1">
      <alignment horizontal="center"/>
    </xf>
    <xf numFmtId="0" fontId="66" fillId="0" borderId="1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91" fillId="11" borderId="9" xfId="0" applyFont="1" applyFill="1" applyBorder="1" applyAlignment="1">
      <alignment horizontal="center"/>
    </xf>
    <xf numFmtId="0" fontId="91" fillId="11" borderId="11" xfId="0" applyFont="1" applyFill="1" applyBorder="1" applyAlignment="1">
      <alignment horizontal="center"/>
    </xf>
    <xf numFmtId="0" fontId="91" fillId="11" borderId="10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10" borderId="9" xfId="0" applyFont="1" applyFill="1" applyBorder="1" applyAlignment="1">
      <alignment horizontal="center"/>
    </xf>
    <xf numFmtId="0" fontId="0" fillId="10" borderId="11" xfId="0" applyFont="1" applyFill="1" applyBorder="1" applyAlignment="1">
      <alignment horizontal="center"/>
    </xf>
    <xf numFmtId="0" fontId="0" fillId="10" borderId="1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95" fillId="9" borderId="2" xfId="0" applyFont="1" applyFill="1" applyBorder="1" applyAlignment="1">
      <alignment horizontal="center" vertical="center" wrapText="1"/>
    </xf>
    <xf numFmtId="0" fontId="95" fillId="9" borderId="7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57" fillId="10" borderId="9" xfId="0" applyFont="1" applyFill="1" applyBorder="1" applyAlignment="1">
      <alignment horizontal="center"/>
    </xf>
    <xf numFmtId="0" fontId="57" fillId="10" borderId="11" xfId="0" applyFont="1" applyFill="1" applyBorder="1" applyAlignment="1">
      <alignment horizontal="center"/>
    </xf>
    <xf numFmtId="0" fontId="57" fillId="10" borderId="10" xfId="0" applyFont="1" applyFill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52" xfId="0" applyFont="1" applyBorder="1" applyAlignment="1">
      <alignment horizontal="center"/>
    </xf>
    <xf numFmtId="49" fontId="62" fillId="0" borderId="0" xfId="0" applyNumberFormat="1" applyFont="1"/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62" fillId="0" borderId="0" xfId="0" applyFont="1"/>
    <xf numFmtId="0" fontId="79" fillId="0" borderId="16" xfId="0" applyFont="1" applyBorder="1" applyAlignment="1">
      <alignment horizontal="center"/>
    </xf>
    <xf numFmtId="0" fontId="78" fillId="0" borderId="16" xfId="0" applyFont="1" applyBorder="1" applyAlignment="1">
      <alignment horizontal="left"/>
    </xf>
    <xf numFmtId="0" fontId="67" fillId="5" borderId="29" xfId="0" applyFont="1" applyFill="1" applyBorder="1" applyAlignment="1">
      <alignment horizontal="center"/>
    </xf>
    <xf numFmtId="0" fontId="67" fillId="5" borderId="50" xfId="0" applyFont="1" applyFill="1" applyBorder="1" applyAlignment="1">
      <alignment horizontal="center"/>
    </xf>
    <xf numFmtId="0" fontId="67" fillId="5" borderId="27" xfId="0" applyFont="1" applyFill="1" applyBorder="1" applyAlignment="1">
      <alignment horizontal="center"/>
    </xf>
    <xf numFmtId="0" fontId="67" fillId="0" borderId="29" xfId="0" applyFont="1" applyBorder="1" applyAlignment="1">
      <alignment horizontal="center"/>
    </xf>
    <xf numFmtId="0" fontId="67" fillId="0" borderId="50" xfId="0" applyFont="1" applyBorder="1" applyAlignment="1">
      <alignment horizontal="center"/>
    </xf>
    <xf numFmtId="0" fontId="67" fillId="0" borderId="27" xfId="0" applyFont="1" applyBorder="1" applyAlignment="1">
      <alignment horizontal="center"/>
    </xf>
    <xf numFmtId="0" fontId="79" fillId="0" borderId="29" xfId="0" applyFont="1" applyBorder="1" applyAlignment="1">
      <alignment horizontal="center"/>
    </xf>
    <xf numFmtId="0" fontId="79" fillId="0" borderId="50" xfId="0" applyFont="1" applyBorder="1" applyAlignment="1">
      <alignment horizontal="center"/>
    </xf>
    <xf numFmtId="0" fontId="79" fillId="0" borderId="27" xfId="0" applyFont="1" applyBorder="1" applyAlignment="1">
      <alignment horizontal="center"/>
    </xf>
    <xf numFmtId="0" fontId="81" fillId="8" borderId="0" xfId="0" applyFont="1" applyFill="1" applyAlignment="1">
      <alignment horizontal="center"/>
    </xf>
    <xf numFmtId="49" fontId="81" fillId="8" borderId="0" xfId="0" applyNumberFormat="1" applyFont="1" applyFill="1" applyAlignment="1">
      <alignment horizontal="center"/>
    </xf>
    <xf numFmtId="49" fontId="82" fillId="5" borderId="29" xfId="0" applyNumberFormat="1" applyFont="1" applyFill="1" applyBorder="1" applyAlignment="1">
      <alignment horizontal="center"/>
    </xf>
    <xf numFmtId="49" fontId="82" fillId="5" borderId="50" xfId="0" applyNumberFormat="1" applyFont="1" applyFill="1" applyBorder="1" applyAlignment="1">
      <alignment horizontal="center"/>
    </xf>
    <xf numFmtId="49" fontId="82" fillId="5" borderId="27" xfId="0" applyNumberFormat="1" applyFont="1" applyFill="1" applyBorder="1" applyAlignment="1">
      <alignment horizontal="center"/>
    </xf>
    <xf numFmtId="0" fontId="82" fillId="9" borderId="16" xfId="0" applyFont="1" applyFill="1" applyBorder="1" applyAlignment="1">
      <alignment horizontal="center"/>
    </xf>
    <xf numFmtId="0" fontId="86" fillId="9" borderId="16" xfId="0" applyFont="1" applyFill="1" applyBorder="1" applyAlignment="1">
      <alignment horizontal="center"/>
    </xf>
    <xf numFmtId="0" fontId="76" fillId="0" borderId="0" xfId="0" applyFont="1" applyBorder="1" applyAlignment="1">
      <alignment horizontal="center"/>
    </xf>
  </cellXfs>
  <cellStyles count="7">
    <cellStyle name="Millares" xfId="5" builtinId="3"/>
    <cellStyle name="Millares 2" xfId="4"/>
    <cellStyle name="Moneda" xfId="6" builtinId="4"/>
    <cellStyle name="Moneda 2" xfId="2"/>
    <cellStyle name="Normal" xfId="0" builtinId="0"/>
    <cellStyle name="Normal 2" xfId="3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903963254593175"/>
          <c:y val="0.23421289948580254"/>
          <c:w val="0.74155249343832019"/>
          <c:h val="0.7355876861027278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"/>
            <c:dispRSqr val="0"/>
            <c:dispEq val="0"/>
          </c:trendline>
          <c:cat>
            <c:strRef>
              <c:f>'[1]INGRESOS MESUAL'!$B$8:$M$8</c:f>
              <c:strCache>
                <c:ptCount val="12"/>
                <c:pt idx="0">
                  <c:v>ENERO</c:v>
                </c:pt>
                <c:pt idx="1">
                  <c:v>FEBRERO </c:v>
                </c:pt>
                <c:pt idx="2">
                  <c:v>MARZO 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 </c:v>
                </c:pt>
                <c:pt idx="11">
                  <c:v>DICIEMBRE</c:v>
                </c:pt>
              </c:strCache>
            </c:strRef>
          </c:cat>
          <c:val>
            <c:numRef>
              <c:f>'[1]INGRESOS MESUAL'!$B$12:$M$12</c:f>
              <c:numCache>
                <c:formatCode>General</c:formatCode>
                <c:ptCount val="12"/>
                <c:pt idx="0">
                  <c:v>7027550</c:v>
                </c:pt>
                <c:pt idx="1">
                  <c:v>9245100</c:v>
                </c:pt>
                <c:pt idx="2">
                  <c:v>8428050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34112"/>
        <c:axId val="92235648"/>
      </c:lineChart>
      <c:catAx>
        <c:axId val="92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235648"/>
        <c:crosses val="autoZero"/>
        <c:auto val="1"/>
        <c:lblAlgn val="ctr"/>
        <c:lblOffset val="100"/>
        <c:noMultiLvlLbl val="0"/>
      </c:catAx>
      <c:valAx>
        <c:axId val="9223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23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0</xdr:row>
      <xdr:rowOff>80682</xdr:rowOff>
    </xdr:from>
    <xdr:to>
      <xdr:col>2</xdr:col>
      <xdr:colOff>1695954</xdr:colOff>
      <xdr:row>2</xdr:row>
      <xdr:rowOff>180974</xdr:rowOff>
    </xdr:to>
    <xdr:pic>
      <xdr:nvPicPr>
        <xdr:cNvPr id="2" name="Imagen 1" descr="lotipo UC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682"/>
          <a:ext cx="2362704" cy="62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0</xdr:row>
      <xdr:rowOff>80682</xdr:rowOff>
    </xdr:from>
    <xdr:to>
      <xdr:col>2</xdr:col>
      <xdr:colOff>1695954</xdr:colOff>
      <xdr:row>2</xdr:row>
      <xdr:rowOff>180974</xdr:rowOff>
    </xdr:to>
    <xdr:pic>
      <xdr:nvPicPr>
        <xdr:cNvPr id="2" name="Imagen 1" descr="lotipo UC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682"/>
          <a:ext cx="2362704" cy="62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0</xdr:row>
      <xdr:rowOff>80682</xdr:rowOff>
    </xdr:from>
    <xdr:to>
      <xdr:col>2</xdr:col>
      <xdr:colOff>1695954</xdr:colOff>
      <xdr:row>2</xdr:row>
      <xdr:rowOff>180974</xdr:rowOff>
    </xdr:to>
    <xdr:pic>
      <xdr:nvPicPr>
        <xdr:cNvPr id="2" name="Imagen 1" descr="lotipo UC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682"/>
          <a:ext cx="2257929" cy="443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142875</xdr:colOff>
      <xdr:row>4</xdr:row>
      <xdr:rowOff>33337</xdr:rowOff>
    </xdr:from>
    <xdr:to>
      <xdr:col>20</xdr:col>
      <xdr:colOff>142875</xdr:colOff>
      <xdr:row>16</xdr:row>
      <xdr:rowOff>57150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uevo/Documents/INFORME%20NUEVO%20MES%20A%20MES%20-%20FORMATO%202015/2017/INFORMES%20NUEVO%20-%20MARZO%20%20CAMPUS%20DEPORTIV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MENSUAL INGRESOS"/>
      <sheetName val="INGRESOS MESUAL"/>
      <sheetName val="INGRESO DIARIO"/>
      <sheetName val="HORAS GENERAL "/>
      <sheetName val="Hoja1"/>
      <sheetName val="Hoja4"/>
      <sheetName val="ESTADISTICA"/>
      <sheetName val="USUARIOS"/>
      <sheetName val="LEYENDA"/>
    </sheetNames>
    <sheetDataSet>
      <sheetData sheetId="0"/>
      <sheetData sheetId="1">
        <row r="8">
          <cell r="B8" t="str">
            <v>ENERO</v>
          </cell>
          <cell r="C8" t="str">
            <v xml:space="preserve">FEBRERO </v>
          </cell>
          <cell r="D8" t="str">
            <v xml:space="preserve">MARZO </v>
          </cell>
          <cell r="E8" t="str">
            <v>ABRIL</v>
          </cell>
          <cell r="F8" t="str">
            <v xml:space="preserve">MAYO </v>
          </cell>
          <cell r="G8" t="str">
            <v>JUNIO</v>
          </cell>
          <cell r="H8" t="str">
            <v>JULIO</v>
          </cell>
          <cell r="I8" t="str">
            <v>AGOSTO</v>
          </cell>
          <cell r="J8" t="str">
            <v>SEPTIEMBRE</v>
          </cell>
          <cell r="K8" t="str">
            <v>OCTUBRE</v>
          </cell>
          <cell r="L8" t="str">
            <v xml:space="preserve">NOVIEMBRE </v>
          </cell>
          <cell r="M8" t="str">
            <v>DICIEMBRE</v>
          </cell>
        </row>
        <row r="12">
          <cell r="B12">
            <v>7027550</v>
          </cell>
          <cell r="C12">
            <v>9245100</v>
          </cell>
          <cell r="D12">
            <v>8428050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A1:BI1463"/>
  <sheetViews>
    <sheetView tabSelected="1" topLeftCell="D1" zoomScale="60" zoomScaleNormal="60" workbookViewId="0">
      <selection activeCell="J14" sqref="J14"/>
    </sheetView>
  </sheetViews>
  <sheetFormatPr baseColWidth="10" defaultRowHeight="12.75" x14ac:dyDescent="0.2"/>
  <cols>
    <col min="1" max="1" width="9.28515625" style="43" customWidth="1"/>
    <col min="2" max="2" width="12.85546875" style="3" bestFit="1" customWidth="1"/>
    <col min="3" max="3" width="43.140625" style="5" customWidth="1"/>
    <col min="4" max="4" width="17.28515625" style="5" customWidth="1"/>
    <col min="5" max="5" width="12.42578125" style="5" customWidth="1"/>
    <col min="6" max="6" width="11.5703125" style="5" customWidth="1"/>
    <col min="7" max="7" width="7.85546875" style="5" customWidth="1"/>
    <col min="8" max="8" width="12.7109375" style="85" customWidth="1"/>
    <col min="9" max="9" width="13.42578125" style="45" customWidth="1"/>
    <col min="10" max="10" width="27.5703125" style="2" bestFit="1" customWidth="1"/>
    <col min="11" max="11" width="24.42578125" style="9" customWidth="1"/>
    <col min="12" max="12" width="56.140625" style="43" customWidth="1"/>
    <col min="13" max="13" width="11.5703125" style="120" bestFit="1" customWidth="1"/>
    <col min="14" max="14" width="12" style="120" bestFit="1" customWidth="1"/>
    <col min="15" max="16" width="10" style="120" bestFit="1" customWidth="1"/>
    <col min="17" max="17" width="18.5703125" style="120" bestFit="1" customWidth="1"/>
    <col min="18" max="18" width="25" style="120" bestFit="1" customWidth="1"/>
    <col min="19" max="19" width="14.5703125" style="120" bestFit="1" customWidth="1"/>
    <col min="20" max="20" width="6" style="120" bestFit="1" customWidth="1"/>
    <col min="21" max="21" width="9.42578125" style="120" bestFit="1" customWidth="1"/>
    <col min="22" max="24" width="7.5703125" style="120" bestFit="1" customWidth="1"/>
    <col min="25" max="25" width="19.42578125" style="120" bestFit="1" customWidth="1"/>
    <col min="26" max="26" width="8.5703125" style="120" bestFit="1" customWidth="1"/>
    <col min="27" max="27" width="20.85546875" style="43" bestFit="1" customWidth="1"/>
    <col min="28" max="28" width="7.85546875" style="120" bestFit="1" customWidth="1"/>
    <col min="29" max="29" width="21.28515625" style="120" bestFit="1" customWidth="1"/>
    <col min="30" max="30" width="7.28515625" style="120" bestFit="1" customWidth="1"/>
    <col min="31" max="31" width="12.5703125" style="120" bestFit="1" customWidth="1"/>
    <col min="32" max="32" width="7.5703125" style="120" bestFit="1" customWidth="1"/>
    <col min="33" max="33" width="9.5703125" style="120" customWidth="1"/>
    <col min="34" max="34" width="11.5703125" style="120" bestFit="1" customWidth="1"/>
    <col min="35" max="35" width="7.5703125" style="120" bestFit="1" customWidth="1"/>
    <col min="36" max="36" width="8.5703125" style="120" bestFit="1" customWidth="1"/>
    <col min="37" max="37" width="6" style="120" bestFit="1" customWidth="1"/>
    <col min="38" max="38" width="11.5703125" style="120" bestFit="1" customWidth="1"/>
    <col min="39" max="39" width="10" style="120" bestFit="1" customWidth="1"/>
    <col min="40" max="40" width="11.42578125" style="120" customWidth="1"/>
    <col min="41" max="41" width="8.5703125" style="120" bestFit="1" customWidth="1"/>
    <col min="42" max="42" width="15.5703125" style="120" customWidth="1"/>
    <col min="43" max="43" width="11.28515625" style="120" customWidth="1"/>
    <col min="44" max="44" width="9.140625" style="120" bestFit="1" customWidth="1"/>
    <col min="45" max="45" width="8.5703125" style="120" bestFit="1" customWidth="1"/>
    <col min="46" max="46" width="6.42578125" style="120" bestFit="1" customWidth="1"/>
    <col min="47" max="48" width="8.5703125" style="120" bestFit="1" customWidth="1"/>
  </cols>
  <sheetData>
    <row r="1" spans="1:61" ht="24.75" customHeight="1" thickBot="1" x14ac:dyDescent="0.25">
      <c r="A1" s="663"/>
      <c r="B1" s="663"/>
      <c r="C1" s="663"/>
      <c r="D1" s="662" t="s">
        <v>236</v>
      </c>
      <c r="E1" s="662"/>
      <c r="F1" s="662"/>
      <c r="G1" s="662"/>
      <c r="H1" s="662"/>
      <c r="I1" s="662"/>
      <c r="J1" s="639" t="s">
        <v>239</v>
      </c>
      <c r="K1" s="640" t="s">
        <v>243</v>
      </c>
      <c r="L1" s="644" t="s">
        <v>235</v>
      </c>
    </row>
    <row r="2" spans="1:61" s="8" customFormat="1" ht="16.5" customHeight="1" thickBot="1" x14ac:dyDescent="0.25">
      <c r="A2" s="663"/>
      <c r="B2" s="663"/>
      <c r="C2" s="663"/>
      <c r="D2" s="662"/>
      <c r="E2" s="662"/>
      <c r="F2" s="662"/>
      <c r="G2" s="662"/>
      <c r="H2" s="662"/>
      <c r="I2" s="662"/>
      <c r="J2" s="638" t="s">
        <v>240</v>
      </c>
      <c r="K2" s="641">
        <v>1</v>
      </c>
      <c r="L2" s="644"/>
      <c r="M2" s="659" t="s">
        <v>26</v>
      </c>
      <c r="N2" s="660"/>
      <c r="O2" s="660"/>
      <c r="P2" s="660"/>
      <c r="Q2" s="660"/>
      <c r="R2" s="661"/>
      <c r="S2" s="659" t="s">
        <v>29</v>
      </c>
      <c r="T2" s="660"/>
      <c r="U2" s="660"/>
      <c r="V2" s="660"/>
      <c r="W2" s="660"/>
      <c r="X2" s="660"/>
      <c r="Y2" s="660"/>
      <c r="Z2" s="661"/>
      <c r="AA2" s="669" t="s">
        <v>13</v>
      </c>
      <c r="AB2" s="670"/>
      <c r="AC2" s="670"/>
      <c r="AD2" s="670"/>
      <c r="AE2" s="670"/>
      <c r="AF2" s="670"/>
      <c r="AG2" s="671"/>
      <c r="AH2" s="659" t="s">
        <v>24</v>
      </c>
      <c r="AI2" s="660"/>
      <c r="AJ2" s="660"/>
      <c r="AK2" s="660"/>
      <c r="AL2" s="660"/>
      <c r="AM2" s="660"/>
      <c r="AN2" s="660"/>
      <c r="AO2" s="660"/>
      <c r="AP2" s="659" t="s">
        <v>42</v>
      </c>
      <c r="AQ2" s="660"/>
      <c r="AR2" s="660"/>
      <c r="AS2" s="660"/>
      <c r="AT2" s="660"/>
      <c r="AU2" s="660"/>
      <c r="AV2" s="661"/>
      <c r="AY2" s="664" t="s">
        <v>228</v>
      </c>
      <c r="AZ2" s="665"/>
      <c r="BA2" s="665"/>
      <c r="BB2" s="665"/>
      <c r="BC2" s="665"/>
      <c r="BD2" s="665"/>
      <c r="BE2" s="665"/>
      <c r="BF2" s="665"/>
      <c r="BG2" s="665"/>
      <c r="BH2" s="665"/>
      <c r="BI2" s="666"/>
    </row>
    <row r="3" spans="1:61" ht="15.75" customHeight="1" thickBot="1" x14ac:dyDescent="0.25">
      <c r="A3" s="663"/>
      <c r="B3" s="663"/>
      <c r="C3" s="663"/>
      <c r="D3" s="662"/>
      <c r="E3" s="662"/>
      <c r="F3" s="662"/>
      <c r="G3" s="662"/>
      <c r="H3" s="662"/>
      <c r="I3" s="662"/>
      <c r="J3" s="642" t="s">
        <v>241</v>
      </c>
      <c r="K3" s="643"/>
      <c r="L3" s="644"/>
      <c r="M3" s="124"/>
      <c r="N3" s="207">
        <v>29000</v>
      </c>
      <c r="O3" s="207">
        <v>29000</v>
      </c>
      <c r="P3" s="207"/>
      <c r="Q3" s="207">
        <v>29000</v>
      </c>
      <c r="R3" s="125"/>
      <c r="S3" s="134"/>
      <c r="T3" s="131">
        <v>29000</v>
      </c>
      <c r="U3" s="131"/>
      <c r="V3" s="131">
        <v>14500</v>
      </c>
      <c r="W3" s="131"/>
      <c r="X3" s="131">
        <v>14500</v>
      </c>
      <c r="Y3" s="131"/>
      <c r="Z3" s="123"/>
      <c r="AA3" s="145"/>
      <c r="AB3" s="154">
        <v>26100</v>
      </c>
      <c r="AC3" s="154">
        <v>26100</v>
      </c>
      <c r="AD3" s="154"/>
      <c r="AE3" s="154">
        <v>26100</v>
      </c>
      <c r="AF3" s="156"/>
      <c r="AG3" s="125"/>
      <c r="AH3" s="124"/>
      <c r="AI3" s="156">
        <v>29000</v>
      </c>
      <c r="AJ3" s="156"/>
      <c r="AK3" s="156">
        <v>17400</v>
      </c>
      <c r="AL3" s="162"/>
      <c r="AM3" s="156">
        <v>17400</v>
      </c>
      <c r="AN3" s="156"/>
      <c r="AO3" s="207"/>
      <c r="AP3" s="124"/>
      <c r="AQ3" s="207">
        <v>23200</v>
      </c>
      <c r="AR3" s="207">
        <v>23200</v>
      </c>
      <c r="AS3" s="207"/>
      <c r="AT3" s="207">
        <v>23200</v>
      </c>
      <c r="AU3" s="171"/>
      <c r="AV3" s="125"/>
      <c r="AY3" s="429" t="s">
        <v>229</v>
      </c>
      <c r="AZ3" s="430">
        <v>129900</v>
      </c>
      <c r="BA3" s="430" t="s">
        <v>230</v>
      </c>
      <c r="BB3" s="431">
        <v>81200</v>
      </c>
      <c r="BC3" s="430" t="s">
        <v>226</v>
      </c>
      <c r="BD3" s="431">
        <v>146200</v>
      </c>
      <c r="BE3" s="430" t="s">
        <v>227</v>
      </c>
      <c r="BF3" s="431">
        <v>162400</v>
      </c>
      <c r="BG3" s="431" t="s">
        <v>223</v>
      </c>
      <c r="BH3" s="432">
        <v>97400</v>
      </c>
      <c r="BI3" s="427" t="s">
        <v>28</v>
      </c>
    </row>
    <row r="4" spans="1:61" s="8" customFormat="1" ht="16.5" thickBot="1" x14ac:dyDescent="0.3">
      <c r="B4" s="92"/>
      <c r="C4" s="107"/>
      <c r="D4" s="93"/>
      <c r="E4" s="93"/>
      <c r="F4" s="93"/>
      <c r="G4" s="93"/>
      <c r="H4" s="93"/>
      <c r="I4" s="93"/>
      <c r="J4" s="94"/>
      <c r="K4" s="95"/>
      <c r="M4" s="126" t="s">
        <v>22</v>
      </c>
      <c r="N4" s="127" t="s">
        <v>30</v>
      </c>
      <c r="O4" s="127" t="s">
        <v>25</v>
      </c>
      <c r="P4" s="127"/>
      <c r="Q4" s="127" t="s">
        <v>23</v>
      </c>
      <c r="R4" s="128"/>
      <c r="S4" s="135" t="s">
        <v>22</v>
      </c>
      <c r="T4" s="658" t="s">
        <v>16</v>
      </c>
      <c r="U4" s="658"/>
      <c r="V4" s="658" t="s">
        <v>17</v>
      </c>
      <c r="W4" s="658"/>
      <c r="X4" s="658" t="s">
        <v>15</v>
      </c>
      <c r="Y4" s="658"/>
      <c r="Z4" s="125"/>
      <c r="AA4" s="145" t="s">
        <v>5</v>
      </c>
      <c r="AB4" s="146" t="s">
        <v>16</v>
      </c>
      <c r="AC4" s="146" t="s">
        <v>17</v>
      </c>
      <c r="AD4" s="147"/>
      <c r="AE4" s="63" t="s">
        <v>15</v>
      </c>
      <c r="AF4" s="63"/>
      <c r="AG4" s="148" t="s">
        <v>35</v>
      </c>
      <c r="AH4" s="163" t="s">
        <v>22</v>
      </c>
      <c r="AI4" s="63" t="s">
        <v>37</v>
      </c>
      <c r="AJ4" s="63"/>
      <c r="AK4" s="63" t="s">
        <v>39</v>
      </c>
      <c r="AL4" s="63"/>
      <c r="AM4" s="147" t="s">
        <v>40</v>
      </c>
      <c r="AN4" s="147"/>
      <c r="AO4" s="147" t="s">
        <v>28</v>
      </c>
      <c r="AP4" s="126" t="s">
        <v>22</v>
      </c>
      <c r="AQ4" s="127" t="s">
        <v>16</v>
      </c>
      <c r="AR4" s="127" t="s">
        <v>17</v>
      </c>
      <c r="AS4" s="127"/>
      <c r="AT4" s="127" t="s">
        <v>15</v>
      </c>
      <c r="AU4" s="171"/>
      <c r="AV4" s="148" t="s">
        <v>28</v>
      </c>
      <c r="AY4" s="433">
        <f>+COUNTIFS($J:$J,"Curso_squash",$K:$K,"estudiante externo")</f>
        <v>0</v>
      </c>
      <c r="AZ4" s="434">
        <f>+$AZ$3*AY4</f>
        <v>0</v>
      </c>
      <c r="BA4" s="434">
        <f>+COUNTIFS($J:$J,"Curso_squash",$K:$K,"Estudiante ucm")</f>
        <v>0</v>
      </c>
      <c r="BB4" s="434">
        <f>+$BB$3*BA4</f>
        <v>0</v>
      </c>
      <c r="BC4" s="434">
        <f>+COUNTIFS($J:$J,"Curso_squash",$K:$K,"egresado")</f>
        <v>0</v>
      </c>
      <c r="BD4" s="434">
        <f>+$BD$3*BC4</f>
        <v>0</v>
      </c>
      <c r="BE4" s="434">
        <f>+COUNTIFS($J:$J,"Curso_squash",$K:$K,"particular")</f>
        <v>0</v>
      </c>
      <c r="BF4" s="434">
        <f>+$BF$3*BE4</f>
        <v>0</v>
      </c>
      <c r="BG4" s="434">
        <f>+COUNTIFS($J:$J,"Curso_squash",$K:$K,"colaborador")</f>
        <v>0</v>
      </c>
      <c r="BH4" s="435">
        <f>+$BH$3*BG4</f>
        <v>0</v>
      </c>
      <c r="BI4" s="428">
        <f>+AZ4+BB4+BD4+BF4+BH4</f>
        <v>0</v>
      </c>
    </row>
    <row r="5" spans="1:61" ht="15.75" x14ac:dyDescent="0.25">
      <c r="B5" s="96"/>
      <c r="C5" s="108"/>
      <c r="D5" s="97"/>
      <c r="E5" s="97"/>
      <c r="F5" s="97"/>
      <c r="G5" s="97"/>
      <c r="H5" s="97"/>
      <c r="I5" s="97"/>
      <c r="J5" s="98"/>
      <c r="K5" s="91"/>
      <c r="M5" s="124">
        <v>1</v>
      </c>
      <c r="N5" s="207">
        <f>+COUNTIFS($J:$J,"UCM",$G:$G,"1",$I:$I,"mañana")</f>
        <v>0</v>
      </c>
      <c r="O5" s="207">
        <f>+COUNTIFS($J:$J,"UCM",$G:$G,"1",$I:$I,"tarde")</f>
        <v>0</v>
      </c>
      <c r="P5" s="138">
        <f>+(N5+O5)*$O$3*M5</f>
        <v>0</v>
      </c>
      <c r="Q5" s="207">
        <f>+COUNTIFS($J:$J,"UCM",$G:$G,"1",$I:$I,"NOCHE")</f>
        <v>0</v>
      </c>
      <c r="R5" s="139">
        <f>+Q5*$Q$3*M5</f>
        <v>0</v>
      </c>
      <c r="S5" s="124">
        <v>1</v>
      </c>
      <c r="T5" s="156">
        <f>+COUNTIFS($J:$J,"ESTUDIANTE_UCM",$G:$G,"1",$I:$I,"MAÑANA")</f>
        <v>0</v>
      </c>
      <c r="U5" s="138">
        <f>+T5*$T$3*S5</f>
        <v>0</v>
      </c>
      <c r="V5" s="156">
        <f>+COUNTIFS($J:$J,"ESTUDIANTE_UCM",$G:$G,"1",$I:$I,"TARDE")</f>
        <v>0</v>
      </c>
      <c r="W5" s="138">
        <f>+$V$3*V5*S5</f>
        <v>0</v>
      </c>
      <c r="X5" s="156">
        <f>+COUNTIFS($J:$J,"ESTUDIANTE_UCM",$G:$G,"1",$I:$I,"NOCHE")</f>
        <v>0</v>
      </c>
      <c r="Y5" s="138">
        <f>+X5*$X$3*S5</f>
        <v>0</v>
      </c>
      <c r="Z5" s="125"/>
      <c r="AA5" s="149">
        <v>1</v>
      </c>
      <c r="AB5" s="156">
        <f>+COUNTIFS($J:$J,"EGRESADO_UCM",$G:$G,"1",$I:$I,"mañana")</f>
        <v>0</v>
      </c>
      <c r="AC5" s="156">
        <f>+COUNTIFS($J:$J,"EGRESADO_UCM",$G:$G,"1",$I:$I,"TARDE")</f>
        <v>0</v>
      </c>
      <c r="AD5" s="138">
        <f>+(AC5+AB5)*$AC$3*AA5</f>
        <v>0</v>
      </c>
      <c r="AE5" s="156">
        <f>+COUNTIFS($J:$J,"EGRESADO_UCM",$G:$G,"1",$I:$I,"NOCHE")</f>
        <v>0</v>
      </c>
      <c r="AF5" s="138">
        <f>+AE5*$AE$3*AA5</f>
        <v>0</v>
      </c>
      <c r="AG5" s="155">
        <f>+AF5+AD5</f>
        <v>0</v>
      </c>
      <c r="AH5" s="149">
        <v>1</v>
      </c>
      <c r="AI5" s="156">
        <f>+COUNTIFS($J:$J,"COLABORADOR",$G:$G,"1",$I:$I,"mañana")</f>
        <v>0</v>
      </c>
      <c r="AJ5" s="154">
        <f>+$AI$3*AI5*AH5</f>
        <v>0</v>
      </c>
      <c r="AK5" s="156">
        <f>+COUNTIFS($J:$J,"COLABORADOR",$G:$G,"1",$I:$I,"tarde")</f>
        <v>0</v>
      </c>
      <c r="AL5" s="154">
        <f>+$AK$3*AK5*AH5</f>
        <v>0</v>
      </c>
      <c r="AM5" s="156">
        <f>+COUNTIFS($J:$J,"COLABORADOR",$G:$G,"1",$I:$I,"noche")</f>
        <v>0</v>
      </c>
      <c r="AN5" s="154">
        <f>+$AM$3*AM5*AH5</f>
        <v>0</v>
      </c>
      <c r="AO5" s="138">
        <f>+AN5+AL5</f>
        <v>0</v>
      </c>
      <c r="AP5" s="124">
        <v>1</v>
      </c>
      <c r="AQ5" s="207">
        <f>+COUNTIFS($J:$J,"ESTUDIANTE_EXTERNO",$G:$G,"1",$I:$I,"mañana")</f>
        <v>0</v>
      </c>
      <c r="AR5" s="207">
        <f>+COUNTIFS($J:$J,"ESTUDIANTE_EXTERNO",$G:$G,"1",$I:$I,"tarde")</f>
        <v>0</v>
      </c>
      <c r="AS5" s="138">
        <f>+(AQ5+AR5)*$AR$3*AP5</f>
        <v>0</v>
      </c>
      <c r="AT5" s="207">
        <f>+COUNTIFS($J:$J,"ESTUDIANTE_EXTERNO",$G:$G,"1",$I:$I,"NOCHE")</f>
        <v>0</v>
      </c>
      <c r="AU5" s="173">
        <f>+AT5*$AT$3*AP5</f>
        <v>0</v>
      </c>
      <c r="AV5" s="151">
        <f>+AU5+AS5</f>
        <v>0</v>
      </c>
    </row>
    <row r="6" spans="1:61" s="1" customFormat="1" ht="15.75" x14ac:dyDescent="0.25">
      <c r="B6" s="99" t="s">
        <v>0</v>
      </c>
      <c r="C6" s="100" t="s">
        <v>1</v>
      </c>
      <c r="D6" s="100" t="s">
        <v>3</v>
      </c>
      <c r="E6" s="100" t="s">
        <v>4</v>
      </c>
      <c r="F6" s="100" t="s">
        <v>7</v>
      </c>
      <c r="G6" s="100" t="s">
        <v>5</v>
      </c>
      <c r="H6" s="100" t="s">
        <v>11</v>
      </c>
      <c r="I6" s="100" t="s">
        <v>6</v>
      </c>
      <c r="J6" s="4" t="s">
        <v>54</v>
      </c>
      <c r="K6" s="13" t="s">
        <v>55</v>
      </c>
      <c r="L6" s="13" t="s">
        <v>53</v>
      </c>
      <c r="M6" s="124">
        <v>2</v>
      </c>
      <c r="N6" s="207">
        <f>+COUNTIFS($J:$J,"UCM",$G:$G,"2",$I:$I,"mañana")</f>
        <v>0</v>
      </c>
      <c r="O6" s="207">
        <f>+COUNTIFS($J:$J,"UCM",$G:$G,"2",$I:$I,"tarde")</f>
        <v>0</v>
      </c>
      <c r="P6" s="138">
        <f>+(N6+O6)*$O$3*M6</f>
        <v>0</v>
      </c>
      <c r="Q6" s="207">
        <f>+COUNTIFS($J:$J,"UCM",$G:$G,"2",$I:$I,"NOCHE")</f>
        <v>0</v>
      </c>
      <c r="R6" s="139">
        <f t="shared" ref="R6:R12" si="0">+Q6*$Q$3*M6</f>
        <v>0</v>
      </c>
      <c r="S6" s="124">
        <v>2</v>
      </c>
      <c r="T6" s="156">
        <f>+COUNTIFS($J:$J,"ESTUDIANTE_UCM",$G:$G,"2",$I:$I,"MAÑANA")</f>
        <v>0</v>
      </c>
      <c r="U6" s="138">
        <f>+T6*$T$3*S6</f>
        <v>0</v>
      </c>
      <c r="V6" s="156">
        <f>+COUNTIFS($J:$J,"ESTUDIANTE_UCM",$G:$G,"2",$I:$I,"TARDE")</f>
        <v>0</v>
      </c>
      <c r="W6" s="138">
        <f t="shared" ref="W6:W12" si="1">+$V$3*V6*S6</f>
        <v>0</v>
      </c>
      <c r="X6" s="156">
        <f>+COUNTIFS($J:$J,"ESTUDIANTE_UCM",$G:$G,"2",$I:$I,"NOCHE")</f>
        <v>0</v>
      </c>
      <c r="Y6" s="138">
        <f t="shared" ref="Y6:Y12" si="2">+X6*$X$3*S6</f>
        <v>0</v>
      </c>
      <c r="Z6" s="125"/>
      <c r="AA6" s="149">
        <v>2</v>
      </c>
      <c r="AB6" s="156">
        <f>+COUNTIFS($J:$J,"EGRESADO_UCM",$G:$G,"2",$I:$I,"mañana")</f>
        <v>0</v>
      </c>
      <c r="AC6" s="156">
        <f>+COUNTIFS($J:$J,"EGRESADO_UCM",$G:$G,"2",$I:$I,"TARDE")</f>
        <v>0</v>
      </c>
      <c r="AD6" s="138">
        <f>+(AC6+AB6)*$AC$3*AA6</f>
        <v>0</v>
      </c>
      <c r="AE6" s="156">
        <f>+COUNTIFS($J:$J,"EGRESADO_UCM",$G:$G,"2",$I:$I,"NOCHE")</f>
        <v>0</v>
      </c>
      <c r="AF6" s="138">
        <f t="shared" ref="AF6:AF12" si="3">+AE6*$AE$3*AA6</f>
        <v>0</v>
      </c>
      <c r="AG6" s="155">
        <f t="shared" ref="AG6:AG12" si="4">+AF6+AD6</f>
        <v>0</v>
      </c>
      <c r="AH6" s="149">
        <v>2</v>
      </c>
      <c r="AI6" s="156">
        <f>+COUNTIFS($J:$J,"COLABORADOR",$G:$G,"2",$I:$I,"mañana")</f>
        <v>0</v>
      </c>
      <c r="AJ6" s="154">
        <f>+$AI$3*AI6*AH6</f>
        <v>0</v>
      </c>
      <c r="AK6" s="156">
        <f>+COUNTIFS($J:$J,"COLABORADOR",$G:$G,"2",$I:$I,"tarde")</f>
        <v>0</v>
      </c>
      <c r="AL6" s="154">
        <f t="shared" ref="AL6:AL12" si="5">+$AK$3*AK6*AH6</f>
        <v>0</v>
      </c>
      <c r="AM6" s="156">
        <f>+COUNTIFS($J:$J,"COLABORADOR",$G:$G,"2",$I:$I,"noche")</f>
        <v>0</v>
      </c>
      <c r="AN6" s="154">
        <f t="shared" ref="AN6:AN12" si="6">+$AM$3*AM6*AH6</f>
        <v>0</v>
      </c>
      <c r="AO6" s="138">
        <f>+AN6+AL6</f>
        <v>0</v>
      </c>
      <c r="AP6" s="124">
        <v>2</v>
      </c>
      <c r="AQ6" s="207">
        <f>+COUNTIFS($J:$J,"ESTUDIANTE_EXTERNO",$G:$G,"2",$I:$I,"mañana")</f>
        <v>0</v>
      </c>
      <c r="AR6" s="207">
        <f>+COUNTIFS($J:$J,"ESTUDIANTE_EXTERNO",$G:$G,"2",$I:$I,"tarde")</f>
        <v>0</v>
      </c>
      <c r="AS6" s="138">
        <f>+(AQ6+AR6)*$AR$3*AP6</f>
        <v>0</v>
      </c>
      <c r="AT6" s="207">
        <f>+COUNTIFS($J:$J,"ESTUDIANTE_EXTERNO",$G:$G,"2",$I:$I,"NOCHE")</f>
        <v>0</v>
      </c>
      <c r="AU6" s="173">
        <f t="shared" ref="AU6:AU12" si="7">+AT6*$AT$3*AP6</f>
        <v>0</v>
      </c>
      <c r="AV6" s="151">
        <f t="shared" ref="AV6:AV12" si="8">+AU6+AS6</f>
        <v>0</v>
      </c>
    </row>
    <row r="7" spans="1:61" s="1" customFormat="1" ht="15.75" x14ac:dyDescent="0.25">
      <c r="B7" s="38"/>
      <c r="C7" s="38"/>
      <c r="D7" s="38"/>
      <c r="E7" s="38"/>
      <c r="F7" s="38"/>
      <c r="G7" s="38"/>
      <c r="H7" s="38"/>
      <c r="I7" s="38"/>
      <c r="J7" s="38"/>
      <c r="K7" s="101"/>
      <c r="L7" s="103"/>
      <c r="M7" s="124">
        <v>3</v>
      </c>
      <c r="N7" s="207">
        <f>+COUNTIFS($J:$J,"UCM",$G:$G,"3",$I:$I,"mañana")</f>
        <v>0</v>
      </c>
      <c r="O7" s="207">
        <f>+COUNTIFS($J:$J,"UCM",$G:$G,"3",$I:$I,"tarde")</f>
        <v>0</v>
      </c>
      <c r="P7" s="138">
        <f>+(N7+O7)*$O$3*M7</f>
        <v>0</v>
      </c>
      <c r="Q7" s="207">
        <f>+COUNTIFS($J:$J,"UCM",$G:$G,"3",$I:$I,"NOCHE")</f>
        <v>0</v>
      </c>
      <c r="R7" s="139">
        <f>+Q7*$Q$3*M7</f>
        <v>0</v>
      </c>
      <c r="S7" s="124">
        <v>3</v>
      </c>
      <c r="T7" s="156">
        <f>+COUNTIFS($J:$J,"ESTUDIANTE_UCM",$G:$G,"3",$I:$I,"MAÑANA")</f>
        <v>0</v>
      </c>
      <c r="U7" s="138">
        <f t="shared" ref="U7:U12" si="9">+T7*$T$3*S7</f>
        <v>0</v>
      </c>
      <c r="V7" s="156">
        <f>+COUNTIFS($J:$J,"ESTUDIANTE_UCM",$G:$G,"3",$I:$I,"TARDE")</f>
        <v>0</v>
      </c>
      <c r="W7" s="138">
        <f t="shared" si="1"/>
        <v>0</v>
      </c>
      <c r="X7" s="156">
        <f>+COUNTIFS($J:$J,"ESTUDIANTE_UCM",$G:$G,"3",$I:$I,"NOCHE")</f>
        <v>0</v>
      </c>
      <c r="Y7" s="138">
        <f t="shared" si="2"/>
        <v>0</v>
      </c>
      <c r="Z7" s="125"/>
      <c r="AA7" s="149">
        <v>3</v>
      </c>
      <c r="AB7" s="156">
        <f>+COUNTIFS($J:$J,"EGRESADO_UCM",$G:$G,"3",$I:$I,"mañana")</f>
        <v>0</v>
      </c>
      <c r="AC7" s="156">
        <f>+COUNTIFS($J:$J,"EGRESADO_UCM",$G:$G,"3",$I:$I,"TARDE")</f>
        <v>0</v>
      </c>
      <c r="AD7" s="138">
        <f t="shared" ref="AD7:AD12" si="10">+(AC7+AB7)*$AC$3*AA7</f>
        <v>0</v>
      </c>
      <c r="AE7" s="156">
        <f>+COUNTIFS($J:$J,"EGRESADO_UCM",$G:$G,"3",$I:$I,"NOCHE")</f>
        <v>0</v>
      </c>
      <c r="AF7" s="138">
        <f t="shared" si="3"/>
        <v>0</v>
      </c>
      <c r="AG7" s="155">
        <f t="shared" si="4"/>
        <v>0</v>
      </c>
      <c r="AH7" s="149">
        <v>3</v>
      </c>
      <c r="AI7" s="156">
        <f>+COUNTIFS($J:$J,"COLABORADOR",$G:$G,"3",$I:$I,"mañana")</f>
        <v>0</v>
      </c>
      <c r="AJ7" s="154">
        <f t="shared" ref="AJ7:AJ12" si="11">+$AI$3*AI7*AH7</f>
        <v>0</v>
      </c>
      <c r="AK7" s="156">
        <f>+COUNTIFS($J:$J,"COLABORADOR",$G:$G,"3",$I:$I,"tarde")</f>
        <v>0</v>
      </c>
      <c r="AL7" s="154">
        <f t="shared" si="5"/>
        <v>0</v>
      </c>
      <c r="AM7" s="156">
        <f>+COUNTIFS($J:$J,"COLABORADOR",$G:$G,"3",$I:$I,"noche")</f>
        <v>0</v>
      </c>
      <c r="AN7" s="154">
        <f t="shared" si="6"/>
        <v>0</v>
      </c>
      <c r="AO7" s="138">
        <f t="shared" ref="AO7:AO12" si="12">+AN7+AL7</f>
        <v>0</v>
      </c>
      <c r="AP7" s="124">
        <v>3</v>
      </c>
      <c r="AQ7" s="207">
        <f>+COUNTIFS($J:$J,"ESTUDIANTE_EXTERNO",$G:$G,"3",$I:$I,"mañana")</f>
        <v>0</v>
      </c>
      <c r="AR7" s="207">
        <f>+COUNTIFS($J:$J,"ESTUDIANTE_EXTERNO",$G:$G,"3",$I:$I,"tarde")</f>
        <v>0</v>
      </c>
      <c r="AS7" s="138">
        <f t="shared" ref="AS7:AS12" si="13">+(AQ7+AR7)*$AR$3*AP7</f>
        <v>0</v>
      </c>
      <c r="AT7" s="207">
        <f>+COUNTIFS($J:$J,"ESTUDIANTE_EXTERNO",$G:$G,"3",$I:$I,"NOCHE")</f>
        <v>0</v>
      </c>
      <c r="AU7" s="173">
        <f t="shared" si="7"/>
        <v>0</v>
      </c>
      <c r="AV7" s="151">
        <f t="shared" si="8"/>
        <v>0</v>
      </c>
    </row>
    <row r="8" spans="1:61" ht="15.75" x14ac:dyDescent="0.25">
      <c r="B8" s="102"/>
      <c r="C8" s="105"/>
      <c r="D8" s="105"/>
      <c r="E8" s="105"/>
      <c r="F8" s="105"/>
      <c r="G8" s="102"/>
      <c r="H8" s="102"/>
      <c r="I8" s="102"/>
      <c r="J8" s="105"/>
      <c r="L8" s="97"/>
      <c r="M8" s="219">
        <v>4</v>
      </c>
      <c r="N8" s="220">
        <f>+COUNTIFS($J:$J,"UCM",$G:$G,"4",$I:$I,"mañana")</f>
        <v>0</v>
      </c>
      <c r="O8" s="220">
        <f>+COUNTIFS($J:$J,"UCM",$G:$G,"4",$I:$I,"tarde")</f>
        <v>0</v>
      </c>
      <c r="P8" s="220">
        <f t="shared" ref="P8:P12" si="14">+(N8+O8)*$O$3*M8</f>
        <v>0</v>
      </c>
      <c r="Q8" s="220">
        <f>+COUNTIFS($J:$J,"UCM",$G:$G,"4",$I:$I,"NOCHE")</f>
        <v>0</v>
      </c>
      <c r="R8" s="139">
        <f t="shared" si="0"/>
        <v>0</v>
      </c>
      <c r="S8" s="124">
        <v>4</v>
      </c>
      <c r="T8" s="156">
        <f>+COUNTIFS($J:$J,"ESTUDIANTE_UCM",$G:$G,"4",$I:$I,"MAÑANA")</f>
        <v>0</v>
      </c>
      <c r="U8" s="138">
        <f t="shared" si="9"/>
        <v>0</v>
      </c>
      <c r="V8" s="156">
        <f>+COUNTIFS($J:$J,"ESTUDIANTE_UCM",$G:$G,"4",$I:$I,"TARDE")</f>
        <v>0</v>
      </c>
      <c r="W8" s="138">
        <f t="shared" si="1"/>
        <v>0</v>
      </c>
      <c r="X8" s="156">
        <f>+COUNTIFS($J:$J,"ESTUDIANTE_UCM",$G:$G,"4",$I:$I,"NOCHE")</f>
        <v>0</v>
      </c>
      <c r="Y8" s="138">
        <f t="shared" si="2"/>
        <v>0</v>
      </c>
      <c r="Z8" s="125"/>
      <c r="AA8" s="149">
        <v>4</v>
      </c>
      <c r="AB8" s="156">
        <f>+COUNTIFS($J:$J,"EGRESADO_UCM",$G:$G,"4",$I:$I,"mañana")</f>
        <v>0</v>
      </c>
      <c r="AC8" s="156">
        <f>+COUNTIFS($J:$J,"EGRESADO_UCM",$G:$G,"4",$I:$I,"TARDE")</f>
        <v>0</v>
      </c>
      <c r="AD8" s="138">
        <f>+(AC8+AB8)*$AC$3*AA8</f>
        <v>0</v>
      </c>
      <c r="AE8" s="156">
        <f>+COUNTIFS($J:$J,"EGRESADO_UCM",$G:$G,"4",$I:$I,"NOCHE")</f>
        <v>0</v>
      </c>
      <c r="AF8" s="138">
        <f t="shared" si="3"/>
        <v>0</v>
      </c>
      <c r="AG8" s="155">
        <f t="shared" si="4"/>
        <v>0</v>
      </c>
      <c r="AH8" s="149">
        <v>4</v>
      </c>
      <c r="AI8" s="156">
        <f>+COUNTIFS($J:$J,"COLABORADOR",$G:$G,"4",$I:$I,"mañana")</f>
        <v>0</v>
      </c>
      <c r="AJ8" s="154">
        <f t="shared" si="11"/>
        <v>0</v>
      </c>
      <c r="AK8" s="156">
        <f>+COUNTIFS($J:$J,"COLABORADOR",$G:$G,"4",$I:$I,"tarde")</f>
        <v>0</v>
      </c>
      <c r="AL8" s="154">
        <f t="shared" si="5"/>
        <v>0</v>
      </c>
      <c r="AM8" s="156">
        <f>+COUNTIFS($J:$J,"COLABORADOR",$G:$G,"4",$I:$I,"noche")</f>
        <v>0</v>
      </c>
      <c r="AN8" s="154">
        <f t="shared" si="6"/>
        <v>0</v>
      </c>
      <c r="AO8" s="138">
        <f>+AN8+AL8</f>
        <v>0</v>
      </c>
      <c r="AP8" s="124">
        <v>4</v>
      </c>
      <c r="AQ8" s="207">
        <f>+COUNTIFS($J:$J,"ESTUDIANTE_EXTERNO",$G:$G,"4",$I:$I,"mañana")</f>
        <v>0</v>
      </c>
      <c r="AR8" s="207">
        <f>+COUNTIFS($J:$J,"ESTUDIANTE_EXTERNO",$G:$G,"4",$I:$I,"tarde")</f>
        <v>0</v>
      </c>
      <c r="AS8" s="138">
        <f t="shared" si="13"/>
        <v>0</v>
      </c>
      <c r="AT8" s="207">
        <f>+COUNTIFS($J:$J,"ESTUDIANTE_EXTERNO",$G:$G,"4",$I:$I,"NOCHE")</f>
        <v>0</v>
      </c>
      <c r="AU8" s="173">
        <f t="shared" si="7"/>
        <v>0</v>
      </c>
      <c r="AV8" s="151">
        <f t="shared" si="8"/>
        <v>0</v>
      </c>
    </row>
    <row r="9" spans="1:61" s="201" customFormat="1" ht="15" x14ac:dyDescent="0.25">
      <c r="A9" s="201" t="str">
        <f>+TEXT(B9,"dddd")</f>
        <v>sábado</v>
      </c>
      <c r="B9" s="448"/>
      <c r="C9" s="441"/>
      <c r="D9" s="440"/>
      <c r="E9" s="440"/>
      <c r="F9" s="440"/>
      <c r="G9" s="449"/>
      <c r="H9" s="449"/>
      <c r="I9" s="440"/>
      <c r="J9" s="447"/>
      <c r="K9" s="422"/>
      <c r="L9" s="1"/>
      <c r="M9" s="124">
        <v>5</v>
      </c>
      <c r="N9" s="207">
        <f>+COUNTIFS($J:$J,"UCM",$G:$G,"5",$I:$I,"mañana")</f>
        <v>0</v>
      </c>
      <c r="O9" s="207">
        <f>+COUNTIFS($J:$J,"UCM",$G:$G,"5",$I:$I,"tarde")</f>
        <v>0</v>
      </c>
      <c r="P9" s="138">
        <f t="shared" si="14"/>
        <v>0</v>
      </c>
      <c r="Q9" s="207">
        <f>+COUNTIFS($J:$J,"UCM",$G:$G,"5",$I:$I,"NOCHE")</f>
        <v>0</v>
      </c>
      <c r="R9" s="139">
        <f t="shared" si="0"/>
        <v>0</v>
      </c>
      <c r="S9" s="124">
        <v>5</v>
      </c>
      <c r="T9" s="156">
        <f>+COUNTIFS($J:$J,"ESTUDIANTE_UCM",$G:$G,"5",$I:$I,"MAÑANA")</f>
        <v>0</v>
      </c>
      <c r="U9" s="138">
        <f t="shared" si="9"/>
        <v>0</v>
      </c>
      <c r="V9" s="156">
        <f>+COUNTIFS($J:$J,"ESTUDIANTE_UCM",$G:$G,"5",$I:$I,"TARDE")</f>
        <v>0</v>
      </c>
      <c r="W9" s="138">
        <f t="shared" si="1"/>
        <v>0</v>
      </c>
      <c r="X9" s="156">
        <f>+COUNTIFS($J:$J,"ESTUDIANTE_UCM",$G:$G,"5",$I:$I,"NOCHE")</f>
        <v>0</v>
      </c>
      <c r="Y9" s="138">
        <f t="shared" si="2"/>
        <v>0</v>
      </c>
      <c r="Z9" s="125"/>
      <c r="AA9" s="149">
        <v>5</v>
      </c>
      <c r="AB9" s="156">
        <f>+COUNTIFS($J:$J,"EGRESADO_UCM",$G:$G,"5",$I:$I,"mañana")</f>
        <v>0</v>
      </c>
      <c r="AC9" s="156">
        <f>+COUNTIFS($J:$J,"EGRESADO_UCM",$G:$G,"5",$I:$I,"TARDE")</f>
        <v>0</v>
      </c>
      <c r="AD9" s="138">
        <f t="shared" si="10"/>
        <v>0</v>
      </c>
      <c r="AE9" s="156">
        <f>+COUNTIFS($J:$J,"EGRESADO_UCM",$G:$G,"5",$I:$I,"NOCHE")</f>
        <v>0</v>
      </c>
      <c r="AF9" s="138">
        <f t="shared" si="3"/>
        <v>0</v>
      </c>
      <c r="AG9" s="155">
        <f t="shared" si="4"/>
        <v>0</v>
      </c>
      <c r="AH9" s="149">
        <v>5</v>
      </c>
      <c r="AI9" s="156">
        <f>+COUNTIFS($J:$J,"COLABORADOR",$G:$G,"5",$I:$I,"mañana")</f>
        <v>0</v>
      </c>
      <c r="AJ9" s="154">
        <f t="shared" si="11"/>
        <v>0</v>
      </c>
      <c r="AK9" s="156">
        <f>+COUNTIFS($J:$J,"COLABORADOR",$G:$G,"5",$I:$I,"tarde")</f>
        <v>0</v>
      </c>
      <c r="AL9" s="154">
        <f t="shared" si="5"/>
        <v>0</v>
      </c>
      <c r="AM9" s="156">
        <f>+COUNTIFS($J:$J,"COLABORADOR",$G:$G,"5",$I:$I,"noche")</f>
        <v>0</v>
      </c>
      <c r="AN9" s="154">
        <f t="shared" si="6"/>
        <v>0</v>
      </c>
      <c r="AO9" s="138">
        <f t="shared" si="12"/>
        <v>0</v>
      </c>
      <c r="AP9" s="124">
        <v>5</v>
      </c>
      <c r="AQ9" s="207">
        <f>+COUNTIFS($J:$J,"ESTUDIANTE_EXTERNO",$G:$G,"5",$I:$I,"mañana")</f>
        <v>0</v>
      </c>
      <c r="AR9" s="207">
        <f>+COUNTIFS($J:$J,"ESTUDIANTE_EXTERNO",$G:$G,"5",$I:$I,"tarde")</f>
        <v>0</v>
      </c>
      <c r="AS9" s="138">
        <f t="shared" si="13"/>
        <v>0</v>
      </c>
      <c r="AT9" s="207">
        <f>+COUNTIFS($J:$J,"ESTUDIANTE_EXTERNO",$G:$G,"5",$I:$I,"NOCHE")</f>
        <v>0</v>
      </c>
      <c r="AU9" s="173">
        <f t="shared" si="7"/>
        <v>0</v>
      </c>
      <c r="AV9" s="151">
        <f t="shared" si="8"/>
        <v>0</v>
      </c>
    </row>
    <row r="10" spans="1:61" s="201" customFormat="1" ht="15" x14ac:dyDescent="0.25">
      <c r="A10" s="201" t="str">
        <f t="shared" ref="A10:A73" si="15">+TEXT(B10,"dddd")</f>
        <v>sábado</v>
      </c>
      <c r="B10" s="448"/>
      <c r="C10" s="450"/>
      <c r="D10" s="451"/>
      <c r="E10" s="451"/>
      <c r="F10" s="451"/>
      <c r="G10" s="449"/>
      <c r="H10" s="449"/>
      <c r="I10" s="451"/>
      <c r="J10" s="454"/>
      <c r="K10" s="422"/>
      <c r="L10" s="1"/>
      <c r="M10" s="124">
        <v>6</v>
      </c>
      <c r="N10" s="207">
        <f>+COUNTIFS($J:$J,"UCM",$G:$G,"6",$I:$I,"mañana")</f>
        <v>0</v>
      </c>
      <c r="O10" s="207">
        <f>+COUNTIFS($J:$J,"UCM",$G:$G,"6",$I:$I,"tarde")</f>
        <v>0</v>
      </c>
      <c r="P10" s="138">
        <f t="shared" si="14"/>
        <v>0</v>
      </c>
      <c r="Q10" s="207">
        <f>+COUNTIFS($J:$J,"UCM",$G:$G,"6",$I:$I,"NOCHE")</f>
        <v>0</v>
      </c>
      <c r="R10" s="139">
        <f t="shared" si="0"/>
        <v>0</v>
      </c>
      <c r="S10" s="124">
        <v>6</v>
      </c>
      <c r="T10" s="156">
        <f>+COUNTIFS($J:$J,"ESTUDIANTE_UCM",$G:$G,"6",$I:$I,"MAÑANA")</f>
        <v>0</v>
      </c>
      <c r="U10" s="138">
        <f t="shared" si="9"/>
        <v>0</v>
      </c>
      <c r="V10" s="156">
        <f>+COUNTIFS($J:$J,"ESTUDIANTE_UCM",$G:$G,"6",$I:$I,"TARDE")</f>
        <v>0</v>
      </c>
      <c r="W10" s="138">
        <f t="shared" si="1"/>
        <v>0</v>
      </c>
      <c r="X10" s="156">
        <f>+COUNTIFS($J:$J,"ESTUDIANTE_UCM",$G:$G,"6",$I:$I,"NOCHE")</f>
        <v>0</v>
      </c>
      <c r="Y10" s="138">
        <f t="shared" si="2"/>
        <v>0</v>
      </c>
      <c r="Z10" s="125"/>
      <c r="AA10" s="149">
        <v>6</v>
      </c>
      <c r="AB10" s="156">
        <f>+COUNTIFS($J:$J,"EGRESADO_UCM",$G:$G,"6",$I:$I,"mañana")</f>
        <v>0</v>
      </c>
      <c r="AC10" s="156">
        <f>+COUNTIFS($J:$J,"EGRESADO_UCM",$G:$G,"6",$I:$I,"TARDE")</f>
        <v>0</v>
      </c>
      <c r="AD10" s="138">
        <f t="shared" si="10"/>
        <v>0</v>
      </c>
      <c r="AE10" s="156">
        <f>+COUNTIFS($J:$J,"EGRESADO_UCM",$G:$G,"6",$I:$I,"NOCHE")</f>
        <v>0</v>
      </c>
      <c r="AF10" s="138">
        <f t="shared" si="3"/>
        <v>0</v>
      </c>
      <c r="AG10" s="155">
        <f t="shared" si="4"/>
        <v>0</v>
      </c>
      <c r="AH10" s="149">
        <v>6</v>
      </c>
      <c r="AI10" s="156">
        <f>+COUNTIFS($J:$J,"COLABORADOR",$G:$G,"6",$I:$I,"mañana")</f>
        <v>0</v>
      </c>
      <c r="AJ10" s="154">
        <f t="shared" si="11"/>
        <v>0</v>
      </c>
      <c r="AK10" s="156">
        <f>+COUNTIFS($J:$J,"COLABORADOR",$G:$G,"6",$I:$I,"tarde")</f>
        <v>0</v>
      </c>
      <c r="AL10" s="154">
        <f t="shared" si="5"/>
        <v>0</v>
      </c>
      <c r="AM10" s="156">
        <f>+COUNTIFS($J:$J,"COLABORADOR",$G:$G,"6",$I:$I,"noche")</f>
        <v>0</v>
      </c>
      <c r="AN10" s="154">
        <f t="shared" si="6"/>
        <v>0</v>
      </c>
      <c r="AO10" s="138">
        <f t="shared" si="12"/>
        <v>0</v>
      </c>
      <c r="AP10" s="124">
        <v>6</v>
      </c>
      <c r="AQ10" s="207">
        <f>+COUNTIFS($J:$J,"ESTUDIANTE_EXTERNO",$G:$G,"6",$I:$I,"mañana")</f>
        <v>0</v>
      </c>
      <c r="AR10" s="207">
        <f>+COUNTIFS($J:$J,"ESTUDIANTE_EXTERNO",$G:$G,"6",$I:$I,"tarde")</f>
        <v>0</v>
      </c>
      <c r="AS10" s="138">
        <f t="shared" si="13"/>
        <v>0</v>
      </c>
      <c r="AT10" s="207">
        <f>+COUNTIFS($J:$J,"ESTUDIANTE_EXTERNO",$G:$G,"6",$I:$I,"NOCHE")</f>
        <v>0</v>
      </c>
      <c r="AU10" s="173">
        <f t="shared" si="7"/>
        <v>0</v>
      </c>
      <c r="AV10" s="151">
        <f t="shared" si="8"/>
        <v>0</v>
      </c>
    </row>
    <row r="11" spans="1:61" s="201" customFormat="1" ht="15" x14ac:dyDescent="0.25">
      <c r="A11" s="201" t="str">
        <f t="shared" si="15"/>
        <v>sábado</v>
      </c>
      <c r="B11" s="448"/>
      <c r="C11" s="450"/>
      <c r="D11" s="451"/>
      <c r="E11" s="451"/>
      <c r="F11" s="451"/>
      <c r="G11" s="451"/>
      <c r="H11" s="451"/>
      <c r="I11" s="451"/>
      <c r="J11" s="454"/>
      <c r="K11" s="422"/>
      <c r="L11" s="1"/>
      <c r="M11" s="124">
        <v>7</v>
      </c>
      <c r="N11" s="207">
        <f>+COUNTIFS($J:$J,"UCM",$G:$G,"7",$I:$I,"mañana")</f>
        <v>0</v>
      </c>
      <c r="O11" s="207">
        <f>+COUNTIFS($J:$J,"UCM",$G:$G,"7",$I:$I,"tarde")</f>
        <v>0</v>
      </c>
      <c r="P11" s="138">
        <f t="shared" si="14"/>
        <v>0</v>
      </c>
      <c r="Q11" s="207">
        <f>+COUNTIFS($J:$J,"UCM",$G:$G,"7",$I:$I,"NOCHE")</f>
        <v>0</v>
      </c>
      <c r="R11" s="139">
        <f t="shared" si="0"/>
        <v>0</v>
      </c>
      <c r="S11" s="124">
        <v>7</v>
      </c>
      <c r="T11" s="156">
        <f>+COUNTIFS($J:$J,"ESTUDIANTE_UCM",$G:$G,"7",$I:$I,"MAÑANA")</f>
        <v>0</v>
      </c>
      <c r="U11" s="138">
        <f t="shared" si="9"/>
        <v>0</v>
      </c>
      <c r="V11" s="156">
        <f>+COUNTIFS($J:$J,"ESTUDIANTE_UCM",$G:$G,"7",$I:$I,"TARDE")</f>
        <v>0</v>
      </c>
      <c r="W11" s="138">
        <f t="shared" si="1"/>
        <v>0</v>
      </c>
      <c r="X11" s="156">
        <f>+COUNTIFS($J:$J,"ESTUDIANTE_UCM",$G:$G,"7",$I:$I,"NOCHE")</f>
        <v>0</v>
      </c>
      <c r="Y11" s="138">
        <f t="shared" si="2"/>
        <v>0</v>
      </c>
      <c r="Z11" s="125"/>
      <c r="AA11" s="149">
        <v>7</v>
      </c>
      <c r="AB11" s="156">
        <f>+COUNTIFS($J:$J,"EGRESADO_UCM",$G:$G,"7",$I:$I,"mañana")</f>
        <v>0</v>
      </c>
      <c r="AC11" s="156">
        <f>+COUNTIFS($J:$J,"EGRESADO_UCM",$G:$G,"7",$I:$I,"TARDE")</f>
        <v>0</v>
      </c>
      <c r="AD11" s="138">
        <f t="shared" si="10"/>
        <v>0</v>
      </c>
      <c r="AE11" s="156">
        <f>+COUNTIFS($J:$J,"EGRESADO_UCM",$G:$G,"7",$I:$I,"NOCHE")</f>
        <v>0</v>
      </c>
      <c r="AF11" s="138">
        <f t="shared" si="3"/>
        <v>0</v>
      </c>
      <c r="AG11" s="155">
        <f t="shared" si="4"/>
        <v>0</v>
      </c>
      <c r="AH11" s="149">
        <v>7</v>
      </c>
      <c r="AI11" s="156">
        <f>+COUNTIFS($J:$J,"COLABORADOR",$G:$G,"7",$I:$I,"mañana")</f>
        <v>0</v>
      </c>
      <c r="AJ11" s="154">
        <f>+$AI$3*AI11*AH11</f>
        <v>0</v>
      </c>
      <c r="AK11" s="156">
        <f>+COUNTIFS($J:$J,"COLABORADOR",$G:$G,"7",$I:$I,"tarde")</f>
        <v>0</v>
      </c>
      <c r="AL11" s="154">
        <f t="shared" si="5"/>
        <v>0</v>
      </c>
      <c r="AM11" s="156">
        <f>+COUNTIFS($J:$J,"COLABORADOR",$G:$G,"7",$I:$I,"noche")</f>
        <v>0</v>
      </c>
      <c r="AN11" s="154">
        <f t="shared" si="6"/>
        <v>0</v>
      </c>
      <c r="AO11" s="138">
        <f t="shared" si="12"/>
        <v>0</v>
      </c>
      <c r="AP11" s="124">
        <v>7</v>
      </c>
      <c r="AQ11" s="207">
        <f>+COUNTIFS($J:$J,"ESTUDIANTE_EXTERNO",$G:$G,"7",$I:$I,"mañana")</f>
        <v>0</v>
      </c>
      <c r="AR11" s="207">
        <f>+COUNTIFS($J:$J,"ESTUDIANTE_EXTERNO",$G:$G,"7",$I:$I,"tarde")</f>
        <v>0</v>
      </c>
      <c r="AS11" s="138">
        <f t="shared" si="13"/>
        <v>0</v>
      </c>
      <c r="AT11" s="207">
        <f>+COUNTIFS($J:$J,"ESTUDIANTE_EXTERNO",$G:$G,"7",$I:$I,"NOCHE")</f>
        <v>0</v>
      </c>
      <c r="AU11" s="173">
        <f t="shared" si="7"/>
        <v>0</v>
      </c>
      <c r="AV11" s="151">
        <f t="shared" si="8"/>
        <v>0</v>
      </c>
    </row>
    <row r="12" spans="1:61" s="201" customFormat="1" ht="15.75" thickBot="1" x14ac:dyDescent="0.3">
      <c r="A12" s="201" t="str">
        <f t="shared" si="15"/>
        <v>sábado</v>
      </c>
      <c r="B12" s="448"/>
      <c r="C12" s="439"/>
      <c r="D12" s="451"/>
      <c r="E12" s="451"/>
      <c r="F12" s="451"/>
      <c r="G12" s="451"/>
      <c r="H12" s="451"/>
      <c r="I12" s="451"/>
      <c r="J12" s="454"/>
      <c r="K12" s="422"/>
      <c r="L12" s="1"/>
      <c r="M12" s="124">
        <v>8</v>
      </c>
      <c r="N12" s="207">
        <f>+COUNTIFS($J:$J,"UCM",$G:$G,"8",$I:$I,"mañana")</f>
        <v>0</v>
      </c>
      <c r="O12" s="207">
        <f>+COUNTIFS($J:$J,"UCM",$G:$G,"8",$I:$I,"tarde")</f>
        <v>0</v>
      </c>
      <c r="P12" s="138">
        <f t="shared" si="14"/>
        <v>0</v>
      </c>
      <c r="Q12" s="207">
        <f>+COUNTIFS($J:$J,"UCM",$G:$G,"8",$I:$I,"NOCHE")</f>
        <v>0</v>
      </c>
      <c r="R12" s="139">
        <f t="shared" si="0"/>
        <v>0</v>
      </c>
      <c r="S12" s="124">
        <v>8</v>
      </c>
      <c r="T12" s="156">
        <f>+COUNTIFS($J:$J,"ESTUDIANTE_UCM",$G:$G,"8",$I:$I,"MAÑANA")</f>
        <v>0</v>
      </c>
      <c r="U12" s="138">
        <f t="shared" si="9"/>
        <v>0</v>
      </c>
      <c r="V12" s="156">
        <f>+COUNTIFS($J:$J,"ESTUDIANTE_UCM",$G:$G,"8",$I:$I,"TARDE")</f>
        <v>0</v>
      </c>
      <c r="W12" s="138">
        <f t="shared" si="1"/>
        <v>0</v>
      </c>
      <c r="X12" s="156">
        <f>+COUNTIFS($J:$J,"ESTUDIANTE_UCM",$G:$G,"8",$I:$I,"NOCHE")</f>
        <v>0</v>
      </c>
      <c r="Y12" s="138">
        <f t="shared" si="2"/>
        <v>0</v>
      </c>
      <c r="Z12" s="125"/>
      <c r="AA12" s="149">
        <v>8</v>
      </c>
      <c r="AB12" s="156">
        <f>+COUNTIFS($J:$J,"EGRESADO_UCM",$G:$G,"8",$I:$I,"mañana")</f>
        <v>0</v>
      </c>
      <c r="AC12" s="156">
        <f>+COUNTIFS($J:$J,"EGRESADO_UCM",$G:$G,"8",$I:$I,"TARDE")</f>
        <v>0</v>
      </c>
      <c r="AD12" s="138">
        <f t="shared" si="10"/>
        <v>0</v>
      </c>
      <c r="AE12" s="156">
        <f>+COUNTIFS($J:$J,"EGRESADO_UCM",$G:$G,"8",$I:$I,"NOCHE")</f>
        <v>0</v>
      </c>
      <c r="AF12" s="138">
        <f t="shared" si="3"/>
        <v>0</v>
      </c>
      <c r="AG12" s="155">
        <f t="shared" si="4"/>
        <v>0</v>
      </c>
      <c r="AH12" s="149">
        <v>8</v>
      </c>
      <c r="AI12" s="156">
        <f>+COUNTIFS($J:$J,"COLABORADOR",$G:$G,"8",$I:$I,"mañana")</f>
        <v>0</v>
      </c>
      <c r="AJ12" s="154">
        <f t="shared" si="11"/>
        <v>0</v>
      </c>
      <c r="AK12" s="156">
        <f>+COUNTIFS($J:$J,"COLABORADOR",$G:$G,"8",$I:$I,"tarde")</f>
        <v>0</v>
      </c>
      <c r="AL12" s="154">
        <f t="shared" si="5"/>
        <v>0</v>
      </c>
      <c r="AM12" s="156">
        <f>+COUNTIFS($J:$J,"COLABORADOR",$G:$G,"8",$I:$I,"noche")</f>
        <v>0</v>
      </c>
      <c r="AN12" s="154">
        <f t="shared" si="6"/>
        <v>0</v>
      </c>
      <c r="AO12" s="138">
        <f t="shared" si="12"/>
        <v>0</v>
      </c>
      <c r="AP12" s="124">
        <v>8</v>
      </c>
      <c r="AQ12" s="207">
        <f>+COUNTIFS($J:$J,"ESTUDIANTE_EXTERNO",$G:$G,"8",$I:$I,"mañana")</f>
        <v>0</v>
      </c>
      <c r="AR12" s="207">
        <f>+COUNTIFS($J:$J,"ESTUDIANTE_EXTERNO",$G:$G,"8",$I:$I,"tarde")</f>
        <v>0</v>
      </c>
      <c r="AS12" s="138">
        <f t="shared" si="13"/>
        <v>0</v>
      </c>
      <c r="AT12" s="207">
        <f>+COUNTIFS($J:$J,"ESTUDIANTE_EXTERNO",$G:$G,"8",$I:$I,"NOCHE")</f>
        <v>0</v>
      </c>
      <c r="AU12" s="173">
        <f t="shared" si="7"/>
        <v>0</v>
      </c>
      <c r="AV12" s="151">
        <f t="shared" si="8"/>
        <v>0</v>
      </c>
    </row>
    <row r="13" spans="1:61" s="202" customFormat="1" ht="15.75" thickBot="1" x14ac:dyDescent="0.3">
      <c r="A13" s="201" t="str">
        <f t="shared" si="15"/>
        <v>sábado</v>
      </c>
      <c r="B13" s="448"/>
      <c r="C13" s="470"/>
      <c r="D13" s="451"/>
      <c r="E13" s="451"/>
      <c r="F13" s="451"/>
      <c r="G13" s="451"/>
      <c r="H13" s="451"/>
      <c r="I13" s="471"/>
      <c r="J13" s="450"/>
      <c r="K13" s="422"/>
      <c r="L13" s="1"/>
      <c r="M13" s="133"/>
      <c r="N13" s="166"/>
      <c r="O13" s="166"/>
      <c r="P13" s="153">
        <f>SUM(P5:P12)</f>
        <v>0</v>
      </c>
      <c r="Q13" s="166"/>
      <c r="R13" s="142">
        <f>SUM(R5:R12)</f>
        <v>0</v>
      </c>
      <c r="S13" s="133" t="s">
        <v>31</v>
      </c>
      <c r="T13" s="166"/>
      <c r="U13" s="158"/>
      <c r="V13" s="158"/>
      <c r="W13" s="153">
        <f>SUM(W5:W12)</f>
        <v>0</v>
      </c>
      <c r="X13" s="158"/>
      <c r="Y13" s="142">
        <f>SUM(Y5:Y12)</f>
        <v>0</v>
      </c>
      <c r="Z13" s="161">
        <f>+Y13+W13+U13</f>
        <v>0</v>
      </c>
      <c r="AA13" s="63" t="s">
        <v>36</v>
      </c>
      <c r="AB13" s="63"/>
      <c r="AC13" s="120"/>
      <c r="AD13" s="150">
        <f>SUM(AD5:AD12)</f>
        <v>0</v>
      </c>
      <c r="AE13" s="63"/>
      <c r="AF13" s="150">
        <f>SUM(AF5:AF12)</f>
        <v>0</v>
      </c>
      <c r="AG13" s="167">
        <f>+AF13+AD13</f>
        <v>0</v>
      </c>
      <c r="AH13" s="165" t="s">
        <v>38</v>
      </c>
      <c r="AI13" s="130"/>
      <c r="AJ13" s="169"/>
      <c r="AK13" s="140"/>
      <c r="AL13" s="140">
        <f>SUM(AL5:AL12)</f>
        <v>0</v>
      </c>
      <c r="AM13" s="140"/>
      <c r="AN13" s="140">
        <f>SUM(AN5:AN12)</f>
        <v>0</v>
      </c>
      <c r="AO13" s="140">
        <f>+AN13+AL13</f>
        <v>0</v>
      </c>
      <c r="AP13" s="129" t="s">
        <v>38</v>
      </c>
      <c r="AQ13" s="130"/>
      <c r="AR13" s="130"/>
      <c r="AS13" s="140">
        <f>SUM(AS5:AS12)</f>
        <v>0</v>
      </c>
      <c r="AT13" s="130"/>
      <c r="AU13" s="172">
        <f>SUM(AU5:AU12)</f>
        <v>0</v>
      </c>
      <c r="AV13" s="160">
        <f>SUM(AV5:AV12)+E53</f>
        <v>0</v>
      </c>
    </row>
    <row r="14" spans="1:61" s="201" customFormat="1" ht="15.75" thickBot="1" x14ac:dyDescent="0.3">
      <c r="A14" s="201" t="str">
        <f t="shared" si="15"/>
        <v>sábado</v>
      </c>
      <c r="B14" s="448"/>
      <c r="C14" s="450"/>
      <c r="D14" s="451"/>
      <c r="E14" s="451"/>
      <c r="F14" s="451"/>
      <c r="G14" s="451"/>
      <c r="H14" s="451"/>
      <c r="I14" s="471"/>
      <c r="J14" s="454"/>
      <c r="K14" s="422"/>
      <c r="L14" s="1"/>
      <c r="M14" s="89"/>
      <c r="N14" s="89"/>
      <c r="O14" s="89"/>
      <c r="P14" s="89"/>
      <c r="Q14" s="133" t="s">
        <v>33</v>
      </c>
      <c r="R14" s="160">
        <f>+R13+P13</f>
        <v>0</v>
      </c>
      <c r="S14" s="157" t="s">
        <v>32</v>
      </c>
      <c r="T14" s="166"/>
      <c r="U14" s="153">
        <f>SUM(U5:U12)</f>
        <v>0</v>
      </c>
      <c r="V14" s="158"/>
      <c r="W14" s="179">
        <f>+W13</f>
        <v>0</v>
      </c>
      <c r="X14" s="180"/>
      <c r="Y14" s="181">
        <f>+Y13</f>
        <v>0</v>
      </c>
      <c r="Z14" s="160">
        <f>+U14+W14+Y14</f>
        <v>0</v>
      </c>
      <c r="AA14" s="152"/>
      <c r="AB14" s="130"/>
      <c r="AC14" s="133" t="s">
        <v>34</v>
      </c>
      <c r="AD14" s="153">
        <f>+(AD13*10%)/90%</f>
        <v>0</v>
      </c>
      <c r="AE14" s="153"/>
      <c r="AF14" s="153">
        <f>+(AF13*10%)/90%</f>
        <v>0</v>
      </c>
      <c r="AG14" s="159">
        <f>+AF14+AD14</f>
        <v>0</v>
      </c>
      <c r="AH14" s="133" t="s">
        <v>41</v>
      </c>
      <c r="AI14" s="166"/>
      <c r="AJ14" s="153">
        <f>SUM(AJ5:AJ12)</f>
        <v>0</v>
      </c>
      <c r="AK14" s="153"/>
      <c r="AL14" s="153">
        <f>+(AL13*40%)/60%</f>
        <v>0</v>
      </c>
      <c r="AM14" s="153"/>
      <c r="AN14" s="153">
        <f>+(AN13*40%)/60%</f>
        <v>0</v>
      </c>
      <c r="AO14" s="174">
        <f>+AN14+AL14+AJ14</f>
        <v>0</v>
      </c>
      <c r="AP14" s="174" t="s">
        <v>41</v>
      </c>
      <c r="AQ14" s="175"/>
      <c r="AR14" s="175"/>
      <c r="AS14" s="175">
        <f>+(AS13*20%)/80%</f>
        <v>0</v>
      </c>
      <c r="AT14" s="175"/>
      <c r="AU14" s="175">
        <f>+(AU13*20%)/80%</f>
        <v>0</v>
      </c>
      <c r="AV14" s="170">
        <f>+AU14+AS14</f>
        <v>0</v>
      </c>
    </row>
    <row r="15" spans="1:61" s="43" customFormat="1" ht="15" x14ac:dyDescent="0.25">
      <c r="A15" s="201" t="str">
        <f t="shared" si="15"/>
        <v>sábado</v>
      </c>
      <c r="B15" s="448"/>
      <c r="C15" s="470"/>
      <c r="D15" s="451"/>
      <c r="E15" s="451"/>
      <c r="F15" s="451"/>
      <c r="G15" s="451"/>
      <c r="H15" s="451"/>
      <c r="I15" s="471"/>
      <c r="J15" s="454"/>
      <c r="K15" s="422"/>
      <c r="L15" s="1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8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</row>
    <row r="16" spans="1:61" s="43" customFormat="1" ht="15" x14ac:dyDescent="0.25">
      <c r="A16" s="201" t="str">
        <f t="shared" si="15"/>
        <v>sábado</v>
      </c>
      <c r="B16" s="448"/>
      <c r="C16" s="470"/>
      <c r="D16" s="451"/>
      <c r="E16" s="451"/>
      <c r="F16" s="451"/>
      <c r="G16" s="451"/>
      <c r="H16" s="451"/>
      <c r="I16" s="473"/>
      <c r="J16" s="450"/>
      <c r="K16" s="422"/>
      <c r="L16" s="1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8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</row>
    <row r="17" spans="1:48" s="43" customFormat="1" ht="15" x14ac:dyDescent="0.25">
      <c r="A17" s="201" t="str">
        <f t="shared" si="15"/>
        <v>sábado</v>
      </c>
      <c r="B17" s="448"/>
      <c r="C17" s="452"/>
      <c r="D17" s="473"/>
      <c r="E17" s="451"/>
      <c r="F17" s="451"/>
      <c r="G17" s="451"/>
      <c r="H17" s="451"/>
      <c r="I17" s="473"/>
      <c r="J17" s="454"/>
      <c r="K17" s="422"/>
      <c r="L17" s="1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8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</row>
    <row r="18" spans="1:48" s="201" customFormat="1" ht="15.75" thickBot="1" x14ac:dyDescent="0.3">
      <c r="A18" s="201" t="str">
        <f t="shared" si="15"/>
        <v>sábado</v>
      </c>
      <c r="B18" s="448"/>
      <c r="C18" s="486"/>
      <c r="D18" s="451"/>
      <c r="E18" s="451"/>
      <c r="F18" s="451"/>
      <c r="G18" s="451"/>
      <c r="H18" s="451"/>
      <c r="I18" s="487"/>
      <c r="J18" s="454"/>
      <c r="K18" s="422"/>
      <c r="L18" s="1"/>
      <c r="M18" s="116"/>
      <c r="N18" s="116"/>
      <c r="O18" s="116"/>
      <c r="P18" s="116"/>
      <c r="Q18" s="116"/>
      <c r="R18" s="137"/>
      <c r="S18" s="116"/>
      <c r="T18" s="116"/>
      <c r="U18" s="116"/>
      <c r="V18" s="116"/>
      <c r="W18" s="116"/>
      <c r="X18" s="116"/>
      <c r="Y18" s="116"/>
      <c r="Z18" s="116"/>
      <c r="AA18" s="118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</row>
    <row r="19" spans="1:48" s="43" customFormat="1" ht="15.75" thickBot="1" x14ac:dyDescent="0.3">
      <c r="A19" s="201" t="str">
        <f t="shared" si="15"/>
        <v>sábado</v>
      </c>
      <c r="B19" s="448"/>
      <c r="C19" s="470"/>
      <c r="D19" s="451"/>
      <c r="E19" s="451"/>
      <c r="F19" s="451"/>
      <c r="G19" s="451"/>
      <c r="H19" s="451"/>
      <c r="I19" s="487"/>
      <c r="J19" s="454"/>
      <c r="K19" s="422"/>
      <c r="L19" s="1"/>
      <c r="M19" s="659" t="s">
        <v>43</v>
      </c>
      <c r="N19" s="660"/>
      <c r="O19" s="660"/>
      <c r="P19" s="660"/>
      <c r="Q19" s="660"/>
      <c r="R19" s="660"/>
      <c r="S19" s="661"/>
      <c r="T19" s="659" t="s">
        <v>45</v>
      </c>
      <c r="U19" s="660"/>
      <c r="V19" s="660"/>
      <c r="W19" s="660"/>
      <c r="X19" s="660"/>
      <c r="Y19" s="660"/>
      <c r="Z19" s="661"/>
      <c r="AA19" s="672" t="s">
        <v>44</v>
      </c>
      <c r="AB19" s="673"/>
      <c r="AC19" s="673"/>
      <c r="AD19" s="673"/>
      <c r="AE19" s="673"/>
      <c r="AF19" s="673"/>
      <c r="AG19" s="674"/>
      <c r="AH19" s="89"/>
      <c r="AI19" s="89"/>
      <c r="AJ19" s="89"/>
      <c r="AK19" s="89"/>
      <c r="AL19" s="89"/>
      <c r="AM19" s="659" t="s">
        <v>101</v>
      </c>
      <c r="AN19" s="661"/>
      <c r="AO19" s="89"/>
      <c r="AP19" s="667" t="s">
        <v>100</v>
      </c>
      <c r="AQ19" s="668"/>
      <c r="AR19" s="89"/>
      <c r="AS19" s="89"/>
      <c r="AT19" s="89"/>
      <c r="AU19" s="89"/>
      <c r="AV19" s="89"/>
    </row>
    <row r="20" spans="1:48" s="201" customFormat="1" ht="15" x14ac:dyDescent="0.25">
      <c r="A20" s="201" t="str">
        <f t="shared" si="15"/>
        <v>sábado</v>
      </c>
      <c r="B20" s="448"/>
      <c r="C20" s="470"/>
      <c r="D20" s="451"/>
      <c r="E20" s="451"/>
      <c r="F20" s="451"/>
      <c r="G20" s="451"/>
      <c r="H20" s="451"/>
      <c r="I20" s="473"/>
      <c r="J20" s="450"/>
      <c r="K20" s="422"/>
      <c r="L20" s="1"/>
      <c r="M20" s="124"/>
      <c r="N20" s="177">
        <v>29000</v>
      </c>
      <c r="O20" s="177">
        <v>29000</v>
      </c>
      <c r="P20" s="146"/>
      <c r="Q20" s="177">
        <v>29000</v>
      </c>
      <c r="R20" s="146"/>
      <c r="S20" s="164"/>
      <c r="T20" s="176"/>
      <c r="U20" s="177">
        <v>29000</v>
      </c>
      <c r="V20" s="177">
        <v>29000</v>
      </c>
      <c r="W20" s="63"/>
      <c r="X20" s="177">
        <v>29000</v>
      </c>
      <c r="Y20" s="63"/>
      <c r="Z20" s="164"/>
      <c r="AA20" s="145"/>
      <c r="AB20" s="63">
        <v>70500</v>
      </c>
      <c r="AC20" s="63">
        <v>70500</v>
      </c>
      <c r="AD20" s="63"/>
      <c r="AE20" s="63">
        <v>83800</v>
      </c>
      <c r="AF20" s="63"/>
      <c r="AG20" s="164"/>
      <c r="AH20" s="89"/>
      <c r="AI20" s="89"/>
      <c r="AJ20" s="89"/>
      <c r="AK20" s="89"/>
      <c r="AL20" s="168"/>
      <c r="AM20" s="176" t="s">
        <v>26</v>
      </c>
      <c r="AN20" s="151">
        <f>+R14</f>
        <v>0</v>
      </c>
      <c r="AO20" s="89"/>
      <c r="AP20" s="423" t="s">
        <v>98</v>
      </c>
      <c r="AQ20" s="424">
        <f>+Z13</f>
        <v>0</v>
      </c>
      <c r="AR20" s="89"/>
      <c r="AS20" s="89"/>
      <c r="AT20" s="89"/>
      <c r="AU20" s="89"/>
      <c r="AV20" s="89"/>
    </row>
    <row r="21" spans="1:48" s="43" customFormat="1" ht="15" x14ac:dyDescent="0.25">
      <c r="A21" s="201" t="str">
        <f t="shared" si="15"/>
        <v>sábado</v>
      </c>
      <c r="B21" s="448"/>
      <c r="C21" s="450"/>
      <c r="D21" s="487"/>
      <c r="E21" s="451"/>
      <c r="F21" s="451"/>
      <c r="G21" s="451"/>
      <c r="H21" s="451"/>
      <c r="I21" s="487"/>
      <c r="J21" s="454"/>
      <c r="K21" s="422"/>
      <c r="L21" s="1"/>
      <c r="M21" s="176" t="s">
        <v>22</v>
      </c>
      <c r="N21" s="63" t="s">
        <v>16</v>
      </c>
      <c r="O21" s="63" t="s">
        <v>17</v>
      </c>
      <c r="P21" s="138"/>
      <c r="Q21" s="63" t="s">
        <v>15</v>
      </c>
      <c r="R21" s="138"/>
      <c r="S21" s="164" t="s">
        <v>10</v>
      </c>
      <c r="T21" s="176" t="s">
        <v>22</v>
      </c>
      <c r="U21" s="63" t="s">
        <v>37</v>
      </c>
      <c r="V21" s="63" t="s">
        <v>39</v>
      </c>
      <c r="W21" s="63"/>
      <c r="X21" s="63" t="s">
        <v>15</v>
      </c>
      <c r="Y21" s="63"/>
      <c r="Z21" s="164" t="s">
        <v>28</v>
      </c>
      <c r="AA21" s="182" t="s">
        <v>22</v>
      </c>
      <c r="AB21" s="63" t="s">
        <v>16</v>
      </c>
      <c r="AC21" s="156" t="s">
        <v>17</v>
      </c>
      <c r="AD21" s="156"/>
      <c r="AE21" s="156" t="s">
        <v>40</v>
      </c>
      <c r="AF21" s="156"/>
      <c r="AG21" s="125" t="s">
        <v>47</v>
      </c>
      <c r="AH21" s="120"/>
      <c r="AI21" s="120"/>
      <c r="AJ21" s="120"/>
      <c r="AK21" s="120"/>
      <c r="AL21" s="168"/>
      <c r="AM21" s="176" t="s">
        <v>98</v>
      </c>
      <c r="AN21" s="151">
        <f>+Z14</f>
        <v>0</v>
      </c>
      <c r="AO21" s="89"/>
      <c r="AP21" s="423" t="s">
        <v>13</v>
      </c>
      <c r="AQ21" s="424">
        <f>+AG13</f>
        <v>0</v>
      </c>
      <c r="AR21" s="89"/>
      <c r="AS21" s="89"/>
      <c r="AT21" s="89"/>
      <c r="AU21" s="89"/>
      <c r="AV21" s="89"/>
    </row>
    <row r="22" spans="1:48" s="201" customFormat="1" ht="15" x14ac:dyDescent="0.25">
      <c r="A22" s="201" t="str">
        <f t="shared" si="15"/>
        <v>sábado</v>
      </c>
      <c r="B22" s="448"/>
      <c r="C22" s="450"/>
      <c r="D22" s="487"/>
      <c r="E22" s="451"/>
      <c r="F22" s="451"/>
      <c r="G22" s="449"/>
      <c r="H22" s="449"/>
      <c r="I22" s="487"/>
      <c r="J22" s="454"/>
      <c r="K22" s="422"/>
      <c r="L22" s="1"/>
      <c r="M22" s="124">
        <v>1</v>
      </c>
      <c r="N22" s="207">
        <f>+COUNTIFS($J:$J,"PARTICULAR",$G:$G,"1",$I:$I,"mañana")</f>
        <v>0</v>
      </c>
      <c r="O22" s="207">
        <f>+COUNTIFS($J:$J,"PARTICULAR",$G:$G,"1",$I:$I,"TARDE")</f>
        <v>0</v>
      </c>
      <c r="P22" s="138">
        <f>+(O22+N22)*$O$20*M22</f>
        <v>0</v>
      </c>
      <c r="Q22" s="207">
        <f>+COUNTIFS($J:$J,"PARTICULAR",$G:$G,"1",$I:$I,"NOCHE")</f>
        <v>0</v>
      </c>
      <c r="R22" s="138">
        <f>+Q22*$Q$20</f>
        <v>0</v>
      </c>
      <c r="S22" s="139">
        <f>+R22+P22</f>
        <v>0</v>
      </c>
      <c r="T22" s="124">
        <v>1</v>
      </c>
      <c r="U22" s="156">
        <f>+COUNTIFS($J:$J,"facultad",$G:$G,"1",$I:$I,"mañana")</f>
        <v>0</v>
      </c>
      <c r="V22" s="156">
        <f>+COUNTIFS($J:$J,"facultad",$G:$G,"1",$I:$I,"tarde")</f>
        <v>0</v>
      </c>
      <c r="W22" s="138">
        <f>+(V22+U22)*$V$20*T22</f>
        <v>0</v>
      </c>
      <c r="X22" s="156">
        <f>+COUNTIFS($J:$J,"facultad",$G:$G,"1",$I:$I,"noche")</f>
        <v>0</v>
      </c>
      <c r="Y22" s="138">
        <f>+$X$20*X22</f>
        <v>0</v>
      </c>
      <c r="Z22" s="138">
        <f>+Y22+W22</f>
        <v>0</v>
      </c>
      <c r="AA22" s="145">
        <v>1</v>
      </c>
      <c r="AB22" s="156">
        <f>+COUNTIFS($J:$J,"convenio",$G:$G,"1",$I:$I,"mañana")</f>
        <v>0</v>
      </c>
      <c r="AC22" s="156">
        <f>+COUNTIFS($J:$J,"convenio",$G:$G,"1",$I:$I,"tarde")</f>
        <v>0</v>
      </c>
      <c r="AD22" s="154">
        <f>+(AC22+AB22)*$AC$20*AA22</f>
        <v>0</v>
      </c>
      <c r="AE22" s="156">
        <f>+COUNTIFS($J:$J,"convenio",$G:$G,"1",$I:$I,"noche")</f>
        <v>0</v>
      </c>
      <c r="AF22" s="156">
        <f>+AE22*$AE$20</f>
        <v>0</v>
      </c>
      <c r="AG22" s="183">
        <f>+AF22+AD22</f>
        <v>0</v>
      </c>
      <c r="AH22" s="120"/>
      <c r="AI22" s="120"/>
      <c r="AJ22" s="120"/>
      <c r="AK22" s="120"/>
      <c r="AL22" s="168"/>
      <c r="AM22" s="176" t="s">
        <v>13</v>
      </c>
      <c r="AN22" s="151">
        <f>+AG14</f>
        <v>0</v>
      </c>
      <c r="AO22" s="89"/>
      <c r="AP22" s="423" t="s">
        <v>24</v>
      </c>
      <c r="AQ22" s="424">
        <f>+AO13</f>
        <v>0</v>
      </c>
      <c r="AR22" s="89"/>
      <c r="AS22" s="89"/>
      <c r="AT22" s="89"/>
      <c r="AU22" s="89"/>
      <c r="AV22" s="89"/>
    </row>
    <row r="23" spans="1:48" s="201" customFormat="1" ht="15" x14ac:dyDescent="0.25">
      <c r="A23" s="201" t="str">
        <f t="shared" si="15"/>
        <v>sábado</v>
      </c>
      <c r="B23" s="448"/>
      <c r="C23" s="489"/>
      <c r="D23" s="455"/>
      <c r="E23" s="451"/>
      <c r="F23" s="451"/>
      <c r="G23" s="451"/>
      <c r="H23" s="451"/>
      <c r="I23" s="490"/>
      <c r="J23" s="454"/>
      <c r="K23" s="422"/>
      <c r="L23" s="1"/>
      <c r="M23" s="124">
        <v>2</v>
      </c>
      <c r="N23" s="207">
        <f>+COUNTIFS($J:$J,"PARTICULAR",$G:$G,"2",$I:$I,"mañana")</f>
        <v>0</v>
      </c>
      <c r="O23" s="207">
        <f>+COUNTIFS($J:$J,"PARTICULAR",$G:$G,"2",$I:$I,"TARDE")</f>
        <v>0</v>
      </c>
      <c r="P23" s="138">
        <f t="shared" ref="P23:P29" si="16">+(O23+N23)*$O$20*M23</f>
        <v>0</v>
      </c>
      <c r="Q23" s="207">
        <f>+COUNTIFS($J:$J,"PARTICULAR",$G:$G,"2",$I:$I,"NOCHE")</f>
        <v>0</v>
      </c>
      <c r="R23" s="138">
        <f t="shared" ref="R23:R29" si="17">+Q23*$Q$20</f>
        <v>0</v>
      </c>
      <c r="S23" s="139">
        <f t="shared" ref="S23:S29" si="18">+R23+P23</f>
        <v>0</v>
      </c>
      <c r="T23" s="124">
        <v>2</v>
      </c>
      <c r="U23" s="156">
        <f>+COUNTIFS($J:$J,"facultad",$G:$G,"2",$I:$I,"mañana")</f>
        <v>0</v>
      </c>
      <c r="V23" s="156">
        <f>+COUNTIFS($J:$J,"facultad",$G:$G,"2",$I:$I,"tarde")</f>
        <v>0</v>
      </c>
      <c r="W23" s="138">
        <f t="shared" ref="W23:W29" si="19">+(V23+U23)*$V$20*T23</f>
        <v>0</v>
      </c>
      <c r="X23" s="156">
        <f>+COUNTIFS($J:$J,"facultad",$G:$G,"2",$I:$I,"noche")</f>
        <v>0</v>
      </c>
      <c r="Y23" s="138">
        <f t="shared" ref="Y23:Y29" si="20">+$X$20*X23</f>
        <v>0</v>
      </c>
      <c r="Z23" s="138">
        <f t="shared" ref="Z23:Z29" si="21">+Y23+W23</f>
        <v>0</v>
      </c>
      <c r="AA23" s="145">
        <v>2</v>
      </c>
      <c r="AB23" s="156">
        <f>+COUNTIFS($J:$J,"convenio",$G:$G,"2",$I:$I,"mañana")</f>
        <v>0</v>
      </c>
      <c r="AC23" s="156">
        <f>+COUNTIFS($J:$J,"convenio",$G:$G,"2",$I:$I,"tarde")</f>
        <v>0</v>
      </c>
      <c r="AD23" s="154">
        <f t="shared" ref="AD23:AD29" si="22">+(AC23+AB23)*$AC$20*AA23</f>
        <v>0</v>
      </c>
      <c r="AE23" s="156">
        <f>+COUNTIFS($J:$J,"convenio",$G:$G,"2",$I:$I,"noche")</f>
        <v>0</v>
      </c>
      <c r="AF23" s="156">
        <f t="shared" ref="AF23:AF29" si="23">+AE23*$AE$20</f>
        <v>0</v>
      </c>
      <c r="AG23" s="183">
        <f t="shared" ref="AG23:AG29" si="24">+AF23+AD23</f>
        <v>0</v>
      </c>
      <c r="AH23" s="89"/>
      <c r="AI23" s="89"/>
      <c r="AJ23" s="89"/>
      <c r="AK23" s="89"/>
      <c r="AL23" s="168"/>
      <c r="AM23" s="176" t="s">
        <v>24</v>
      </c>
      <c r="AN23" s="151">
        <f>+AO14</f>
        <v>0</v>
      </c>
      <c r="AO23" s="89"/>
      <c r="AP23" s="423" t="s">
        <v>42</v>
      </c>
      <c r="AQ23" s="424">
        <f>+AV13</f>
        <v>0</v>
      </c>
      <c r="AR23" s="89"/>
      <c r="AS23" s="89"/>
      <c r="AT23" s="89"/>
      <c r="AU23" s="89"/>
      <c r="AV23" s="89"/>
    </row>
    <row r="24" spans="1:48" s="201" customFormat="1" ht="15" x14ac:dyDescent="0.25">
      <c r="A24" s="201" t="str">
        <f t="shared" si="15"/>
        <v>sábado</v>
      </c>
      <c r="B24" s="448"/>
      <c r="C24" s="489"/>
      <c r="D24" s="451"/>
      <c r="E24" s="401"/>
      <c r="F24" s="451"/>
      <c r="G24" s="451"/>
      <c r="H24" s="451"/>
      <c r="I24" s="518"/>
      <c r="J24" s="450"/>
      <c r="K24" s="422"/>
      <c r="L24" s="1"/>
      <c r="M24" s="124">
        <v>3</v>
      </c>
      <c r="N24" s="207">
        <f>+COUNTIFS($J:$J,"PARTICULAR",$G:$G,"3",$I:$I,"mañana")</f>
        <v>0</v>
      </c>
      <c r="O24" s="207">
        <f>+COUNTIFS($J:$J,"PARTICULAR",$G:$G,"3",$I:$I,"TARDE")</f>
        <v>0</v>
      </c>
      <c r="P24" s="138">
        <f t="shared" si="16"/>
        <v>0</v>
      </c>
      <c r="Q24" s="207">
        <f>+COUNTIFS($J:$J,"PARTICULAR",$G:$G,"3",$I:$I,"NOCHE")</f>
        <v>0</v>
      </c>
      <c r="R24" s="138">
        <f t="shared" si="17"/>
        <v>0</v>
      </c>
      <c r="S24" s="139">
        <f t="shared" si="18"/>
        <v>0</v>
      </c>
      <c r="T24" s="124">
        <v>3</v>
      </c>
      <c r="U24" s="156">
        <f>+COUNTIFS($J:$J,"facultad",$G:$G,"3",$I:$I,"mañana")</f>
        <v>0</v>
      </c>
      <c r="V24" s="156">
        <f>+COUNTIFS($J:$J,"facultad",$G:$G,"3",$I:$I,"tarde")</f>
        <v>0</v>
      </c>
      <c r="W24" s="138">
        <f t="shared" si="19"/>
        <v>0</v>
      </c>
      <c r="X24" s="156">
        <f>+COUNTIFS($J:$J,"facultad",$G:$G,"3",$I:$I,"noche")</f>
        <v>0</v>
      </c>
      <c r="Y24" s="138">
        <f t="shared" si="20"/>
        <v>0</v>
      </c>
      <c r="Z24" s="138">
        <f t="shared" si="21"/>
        <v>0</v>
      </c>
      <c r="AA24" s="145">
        <v>3</v>
      </c>
      <c r="AB24" s="156">
        <f>+COUNTIFS($J:$J,"convenio",$G:$G,"3",$I:$I,"mañana")</f>
        <v>0</v>
      </c>
      <c r="AC24" s="156">
        <f>+COUNTIFS($J:$J,"convenio",$G:$G,"3",$I:$I,"tarde")</f>
        <v>0</v>
      </c>
      <c r="AD24" s="154">
        <f t="shared" si="22"/>
        <v>0</v>
      </c>
      <c r="AE24" s="156">
        <f>+COUNTIFS($J:$J,"convenio",$G:$G,"3",$I:$I,"noche")</f>
        <v>0</v>
      </c>
      <c r="AF24" s="156">
        <f t="shared" si="23"/>
        <v>0</v>
      </c>
      <c r="AG24" s="183">
        <f t="shared" si="24"/>
        <v>0</v>
      </c>
      <c r="AH24" s="89"/>
      <c r="AI24" s="89"/>
      <c r="AJ24" s="89"/>
      <c r="AK24" s="89"/>
      <c r="AL24" s="89"/>
      <c r="AM24" s="176" t="s">
        <v>42</v>
      </c>
      <c r="AN24" s="155">
        <f>+AV14</f>
        <v>0</v>
      </c>
      <c r="AO24" s="89"/>
      <c r="AP24" s="423" t="s">
        <v>102</v>
      </c>
      <c r="AQ24" s="424">
        <f>+S30+AF38</f>
        <v>0</v>
      </c>
      <c r="AR24" s="89"/>
      <c r="AS24" s="89"/>
      <c r="AT24" s="89"/>
      <c r="AU24" s="89"/>
      <c r="AV24" s="89"/>
    </row>
    <row r="25" spans="1:48" s="43" customFormat="1" ht="15" x14ac:dyDescent="0.25">
      <c r="A25" s="201" t="str">
        <f t="shared" si="15"/>
        <v>sábado</v>
      </c>
      <c r="B25" s="448"/>
      <c r="C25" s="489"/>
      <c r="D25" s="397"/>
      <c r="E25" s="521"/>
      <c r="F25" s="451"/>
      <c r="G25" s="451"/>
      <c r="H25" s="451"/>
      <c r="I25" s="490"/>
      <c r="J25" s="454"/>
      <c r="K25" s="422"/>
      <c r="M25" s="124">
        <v>4</v>
      </c>
      <c r="N25" s="207">
        <f>+COUNTIFS($J:$J,"PARTICULAR",$G:$G,"4",$I:$I,"mañana")</f>
        <v>0</v>
      </c>
      <c r="O25" s="207">
        <f>+COUNTIFS($J:$J,"PARTICULAR",$G:$G,"4",$I:$I,"TARDE")</f>
        <v>0</v>
      </c>
      <c r="P25" s="138">
        <f t="shared" si="16"/>
        <v>0</v>
      </c>
      <c r="Q25" s="207">
        <f>+COUNTIFS($J:$J,"PARTICULAR",$G:$G,"4",$I:$I,"NOCHE")</f>
        <v>0</v>
      </c>
      <c r="R25" s="138">
        <f t="shared" si="17"/>
        <v>0</v>
      </c>
      <c r="S25" s="139">
        <f t="shared" si="18"/>
        <v>0</v>
      </c>
      <c r="T25" s="124">
        <v>4</v>
      </c>
      <c r="U25" s="156">
        <f>+COUNTIFS($J:$J,"facultad",$G:$G,"4",$I:$I,"mañana")</f>
        <v>0</v>
      </c>
      <c r="V25" s="156">
        <f>+COUNTIFS($J:$J,"facultad",$G:$G,"4",$I:$I,"tarde")</f>
        <v>0</v>
      </c>
      <c r="W25" s="138">
        <f t="shared" si="19"/>
        <v>0</v>
      </c>
      <c r="X25" s="156">
        <f>+COUNTIFS($J:$J,"facultad",$G:$G,"4",$I:$I,"noche")</f>
        <v>0</v>
      </c>
      <c r="Y25" s="138">
        <f t="shared" si="20"/>
        <v>0</v>
      </c>
      <c r="Z25" s="138">
        <f t="shared" si="21"/>
        <v>0</v>
      </c>
      <c r="AA25" s="145">
        <v>4</v>
      </c>
      <c r="AB25" s="156">
        <f>+COUNTIFS($J:$J,"convenio",$G:$G,"4",$I:$I,"mañana")</f>
        <v>0</v>
      </c>
      <c r="AC25" s="156">
        <f>+COUNTIFS($J:$J,"convenio",$G:$G,"4",$I:$I,"tarde")</f>
        <v>0</v>
      </c>
      <c r="AD25" s="154">
        <f t="shared" si="22"/>
        <v>0</v>
      </c>
      <c r="AE25" s="156">
        <f>+COUNTIFS($J:$J,"convenio",$G:$G,"4",$I:$I,"noche")</f>
        <v>0</v>
      </c>
      <c r="AF25" s="156">
        <f t="shared" si="23"/>
        <v>0</v>
      </c>
      <c r="AG25" s="183">
        <f t="shared" si="24"/>
        <v>0</v>
      </c>
      <c r="AH25" s="89"/>
      <c r="AI25" s="89"/>
      <c r="AJ25" s="89"/>
      <c r="AK25" s="89"/>
      <c r="AL25" s="168"/>
      <c r="AM25" s="176" t="s">
        <v>99</v>
      </c>
      <c r="AN25" s="151">
        <f>+Z30</f>
        <v>0</v>
      </c>
      <c r="AO25" s="89"/>
      <c r="AP25" s="423" t="s">
        <v>76</v>
      </c>
      <c r="AQ25" s="424">
        <f>+AJ30</f>
        <v>0</v>
      </c>
      <c r="AR25" s="89"/>
      <c r="AS25" s="89"/>
      <c r="AT25" s="89"/>
      <c r="AU25" s="89"/>
      <c r="AV25" s="89"/>
    </row>
    <row r="26" spans="1:48" s="201" customFormat="1" ht="15.75" thickBot="1" x14ac:dyDescent="0.3">
      <c r="A26" s="201" t="str">
        <f t="shared" si="15"/>
        <v>sábado</v>
      </c>
      <c r="B26" s="448"/>
      <c r="C26" s="450"/>
      <c r="D26" s="490"/>
      <c r="E26" s="401"/>
      <c r="F26" s="451"/>
      <c r="G26" s="451"/>
      <c r="H26" s="451"/>
      <c r="I26" s="523"/>
      <c r="J26" s="454"/>
      <c r="K26" s="422"/>
      <c r="L26" s="1"/>
      <c r="M26" s="124">
        <v>5</v>
      </c>
      <c r="N26" s="207">
        <f>+COUNTIFS($J:$J,"PARTICULAR",$G:$G,"5",$I:$I,"mañana")</f>
        <v>0</v>
      </c>
      <c r="O26" s="207">
        <f>+COUNTIFS($J:$J,"PARTICULAR",$G:$G,"5",$I:$I,"TARDE")</f>
        <v>0</v>
      </c>
      <c r="P26" s="138">
        <f t="shared" si="16"/>
        <v>0</v>
      </c>
      <c r="Q26" s="207">
        <f>+COUNTIFS($J:$J,"PARTICULAR",$G:$G,"5",$I:$I,"NOCHE")</f>
        <v>0</v>
      </c>
      <c r="R26" s="138">
        <f t="shared" si="17"/>
        <v>0</v>
      </c>
      <c r="S26" s="139">
        <f t="shared" si="18"/>
        <v>0</v>
      </c>
      <c r="T26" s="124">
        <v>5</v>
      </c>
      <c r="U26" s="156">
        <f>+COUNTIFS($J:$J,"facultad",$G:$G,"5",$I:$I,"mañana")</f>
        <v>0</v>
      </c>
      <c r="V26" s="156">
        <f>+COUNTIFS($J:$J,"facultad",$G:$G,"5",$I:$I,"tarde")</f>
        <v>0</v>
      </c>
      <c r="W26" s="138">
        <f t="shared" si="19"/>
        <v>0</v>
      </c>
      <c r="X26" s="156">
        <f>+COUNTIFS($J:$J,"facultad",$G:$G,"5",$I:$I,"noche")</f>
        <v>0</v>
      </c>
      <c r="Y26" s="138">
        <f t="shared" si="20"/>
        <v>0</v>
      </c>
      <c r="Z26" s="138">
        <f t="shared" si="21"/>
        <v>0</v>
      </c>
      <c r="AA26" s="145">
        <v>5</v>
      </c>
      <c r="AB26" s="156">
        <f>+COUNTIFS($J:$J,"convenio",$G:$G,"5",$I:$I,"mañana")</f>
        <v>0</v>
      </c>
      <c r="AC26" s="156">
        <f>+COUNTIFS($J:$J,"convenio",$G:$G,"5",$I:$I,"tarde")</f>
        <v>0</v>
      </c>
      <c r="AD26" s="154">
        <f t="shared" si="22"/>
        <v>0</v>
      </c>
      <c r="AE26" s="156">
        <f>+COUNTIFS($J:$J,"convenio",$G:$G,"5",$I:$I,"noche")</f>
        <v>0</v>
      </c>
      <c r="AF26" s="156">
        <f t="shared" si="23"/>
        <v>0</v>
      </c>
      <c r="AG26" s="183">
        <f t="shared" si="24"/>
        <v>0</v>
      </c>
      <c r="AH26" s="42"/>
      <c r="AI26" s="42"/>
      <c r="AJ26" s="42"/>
      <c r="AK26" s="42"/>
      <c r="AL26" s="42"/>
      <c r="AM26" s="176" t="s">
        <v>19</v>
      </c>
      <c r="AN26" s="151">
        <f>+AG30</f>
        <v>0</v>
      </c>
      <c r="AO26" s="42"/>
      <c r="AP26" s="423" t="s">
        <v>231</v>
      </c>
      <c r="AQ26" s="424">
        <f>+BI4</f>
        <v>0</v>
      </c>
      <c r="AR26" s="42"/>
      <c r="AS26" s="42"/>
      <c r="AT26" s="42"/>
      <c r="AU26" s="42"/>
      <c r="AV26" s="42"/>
    </row>
    <row r="27" spans="1:48" s="201" customFormat="1" ht="15.75" thickBot="1" x14ac:dyDescent="0.3">
      <c r="A27" s="201" t="str">
        <f t="shared" si="15"/>
        <v>sábado</v>
      </c>
      <c r="B27" s="448"/>
      <c r="C27" s="450"/>
      <c r="D27" s="451"/>
      <c r="E27" s="401"/>
      <c r="F27" s="451"/>
      <c r="G27" s="451"/>
      <c r="H27" s="451"/>
      <c r="I27" s="491"/>
      <c r="J27" s="454"/>
      <c r="K27" s="422"/>
      <c r="L27" s="1"/>
      <c r="M27" s="124">
        <v>6</v>
      </c>
      <c r="N27" s="207">
        <f>+COUNTIFS($J:$J,"PARTICULAR",$G:$G,"6",$I:$I,"mañana")</f>
        <v>0</v>
      </c>
      <c r="O27" s="207">
        <f>+COUNTIFS($J:$J,"PARTICULAR",$G:$G,"6",$I:$I,"TARDE")</f>
        <v>0</v>
      </c>
      <c r="P27" s="138">
        <f t="shared" si="16"/>
        <v>0</v>
      </c>
      <c r="Q27" s="207">
        <f>+COUNTIFS($J:$J,"PARTICULAR",$G:$G,"6",$I:$I,"NOCHE")</f>
        <v>0</v>
      </c>
      <c r="R27" s="138">
        <f t="shared" si="17"/>
        <v>0</v>
      </c>
      <c r="S27" s="139">
        <f t="shared" si="18"/>
        <v>0</v>
      </c>
      <c r="T27" s="124">
        <v>6</v>
      </c>
      <c r="U27" s="156">
        <f>+COUNTIFS($J:$J,"facultad",$G:$G,"6",$I:$I,"mañana")</f>
        <v>0</v>
      </c>
      <c r="V27" s="156">
        <f>+COUNTIFS($J:$J,"facultad",$G:$G,"6",$I:$I,"tarde")</f>
        <v>0</v>
      </c>
      <c r="W27" s="138">
        <f t="shared" si="19"/>
        <v>0</v>
      </c>
      <c r="X27" s="156">
        <f>+COUNTIFS($J:$J,"facultad",$G:$G,"6",$I:$I,"noche")</f>
        <v>0</v>
      </c>
      <c r="Y27" s="138">
        <f t="shared" si="20"/>
        <v>0</v>
      </c>
      <c r="Z27" s="138">
        <f t="shared" si="21"/>
        <v>0</v>
      </c>
      <c r="AA27" s="145">
        <v>6</v>
      </c>
      <c r="AB27" s="156">
        <f>+COUNTIFS($J:$J,"convenio",$G:$G,"6",$I:$I,"mañana")</f>
        <v>0</v>
      </c>
      <c r="AC27" s="156">
        <f>+COUNTIFS($J:$J,"convenio",$G:$G,"6",$I:$I,"tarde")</f>
        <v>0</v>
      </c>
      <c r="AD27" s="154">
        <f t="shared" si="22"/>
        <v>0</v>
      </c>
      <c r="AE27" s="156">
        <f>+COUNTIFS($J:$J,"convenio",$G:$G,"6",$I:$I,"noche")</f>
        <v>0</v>
      </c>
      <c r="AF27" s="156">
        <f t="shared" si="23"/>
        <v>0</v>
      </c>
      <c r="AG27" s="183">
        <f t="shared" si="24"/>
        <v>0</v>
      </c>
      <c r="AH27" s="114"/>
      <c r="AI27" s="114"/>
      <c r="AJ27" s="114"/>
      <c r="AK27" s="114"/>
      <c r="AL27" s="114"/>
      <c r="AM27" s="176" t="s">
        <v>50</v>
      </c>
      <c r="AN27" s="151">
        <f>+S38</f>
        <v>0</v>
      </c>
      <c r="AO27" s="114"/>
      <c r="AP27" s="425" t="s">
        <v>104</v>
      </c>
      <c r="AQ27" s="426">
        <f>SUM(AQ20:AQ26)</f>
        <v>0</v>
      </c>
      <c r="AR27" s="114"/>
      <c r="AS27" s="114"/>
      <c r="AT27" s="114"/>
      <c r="AU27" s="114"/>
      <c r="AV27" s="114"/>
    </row>
    <row r="28" spans="1:48" s="201" customFormat="1" ht="15.75" thickBot="1" x14ac:dyDescent="0.3">
      <c r="A28" s="201" t="str">
        <f t="shared" si="15"/>
        <v>sábado</v>
      </c>
      <c r="B28" s="448"/>
      <c r="C28" s="450"/>
      <c r="D28" s="491"/>
      <c r="E28" s="401"/>
      <c r="F28" s="451"/>
      <c r="G28" s="451"/>
      <c r="H28" s="451"/>
      <c r="I28" s="523"/>
      <c r="J28" s="454"/>
      <c r="K28" s="422"/>
      <c r="L28" s="1"/>
      <c r="M28" s="124">
        <v>7</v>
      </c>
      <c r="N28" s="207">
        <f>+COUNTIFS($J:$J,"PARTICULAR",$G:$G,"7",$I:$I,"mañana")</f>
        <v>0</v>
      </c>
      <c r="O28" s="207">
        <f>+COUNTIFS($J:$J,"PARTICULAR",$G:$G,"7",$I:$I,"TARDE")</f>
        <v>0</v>
      </c>
      <c r="P28" s="138">
        <f t="shared" si="16"/>
        <v>0</v>
      </c>
      <c r="Q28" s="207">
        <f>+COUNTIFS($J:$J,"PARTICULAR",$G:$G,"7",$I:$I,"NOCHE")</f>
        <v>0</v>
      </c>
      <c r="R28" s="138">
        <f t="shared" si="17"/>
        <v>0</v>
      </c>
      <c r="S28" s="139">
        <f t="shared" si="18"/>
        <v>0</v>
      </c>
      <c r="T28" s="124">
        <v>7</v>
      </c>
      <c r="U28" s="156">
        <f>+COUNTIFS($J:$J,"facultad",$G:$G,"7",$I:$I,"mañana")</f>
        <v>0</v>
      </c>
      <c r="V28" s="156">
        <f>+COUNTIFS($J:$J,"facultad",$G:$G,"7",$I:$I,"tarde")</f>
        <v>0</v>
      </c>
      <c r="W28" s="138">
        <f t="shared" si="19"/>
        <v>0</v>
      </c>
      <c r="X28" s="156">
        <f>+COUNTIFS($J:$J,"facultad",$G:$G,"7",$I:$I,"noche")</f>
        <v>0</v>
      </c>
      <c r="Y28" s="138">
        <f t="shared" si="20"/>
        <v>0</v>
      </c>
      <c r="Z28" s="138">
        <f t="shared" si="21"/>
        <v>0</v>
      </c>
      <c r="AA28" s="145">
        <v>7</v>
      </c>
      <c r="AB28" s="156">
        <f>+COUNTIFS($J:$J,"convenio",$G:$G,"7",$I:$I,"mañana")</f>
        <v>0</v>
      </c>
      <c r="AC28" s="156">
        <f>+COUNTIFS($J:$J,"convenio",$G:$G,"7",$I:$I,"tarde")</f>
        <v>0</v>
      </c>
      <c r="AD28" s="154">
        <f t="shared" si="22"/>
        <v>0</v>
      </c>
      <c r="AE28" s="156">
        <f>+COUNTIFS($J:$J,"convenio",$G:$G,"7",$I:$I,"noche")</f>
        <v>0</v>
      </c>
      <c r="AF28" s="156">
        <f t="shared" si="23"/>
        <v>0</v>
      </c>
      <c r="AG28" s="183">
        <f t="shared" si="24"/>
        <v>0</v>
      </c>
      <c r="AH28" s="114"/>
      <c r="AI28" s="114"/>
      <c r="AJ28" s="114"/>
      <c r="AK28" s="114"/>
      <c r="AL28" s="114"/>
      <c r="AM28" s="176" t="s">
        <v>61</v>
      </c>
      <c r="AN28" s="151">
        <f>+Z38</f>
        <v>0</v>
      </c>
      <c r="AO28" s="114"/>
      <c r="AP28" s="114"/>
      <c r="AQ28" s="114"/>
      <c r="AR28" s="399"/>
      <c r="AS28" s="114"/>
      <c r="AT28" s="114"/>
      <c r="AU28" s="114"/>
      <c r="AV28" s="114"/>
    </row>
    <row r="29" spans="1:48" s="201" customFormat="1" ht="15.75" thickBot="1" x14ac:dyDescent="0.3">
      <c r="A29" s="201" t="str">
        <f t="shared" si="15"/>
        <v>sábado</v>
      </c>
      <c r="B29" s="448"/>
      <c r="C29" s="439"/>
      <c r="D29" s="491"/>
      <c r="E29" s="451"/>
      <c r="F29" s="451"/>
      <c r="G29" s="451"/>
      <c r="H29" s="451"/>
      <c r="I29" s="491"/>
      <c r="J29" s="454"/>
      <c r="K29" s="422"/>
      <c r="L29" s="1"/>
      <c r="M29" s="124">
        <v>8</v>
      </c>
      <c r="N29" s="207">
        <f>+COUNTIFS($J:$J,"PARTICULAR",$G:$G,"8",$I:$I,"mañana")</f>
        <v>0</v>
      </c>
      <c r="O29" s="207">
        <f>+COUNTIFS($J:$J,"PARTICULAR",$G:$G,"8",$I:$I,"TARDE")</f>
        <v>0</v>
      </c>
      <c r="P29" s="138">
        <f t="shared" si="16"/>
        <v>0</v>
      </c>
      <c r="Q29" s="207">
        <f>+COUNTIFS($J:$J,"PARTICULAR",$G:$G,"8",$I:$I,"NOCHE")</f>
        <v>0</v>
      </c>
      <c r="R29" s="138">
        <f t="shared" si="17"/>
        <v>0</v>
      </c>
      <c r="S29" s="139">
        <f t="shared" si="18"/>
        <v>0</v>
      </c>
      <c r="T29" s="124">
        <v>8</v>
      </c>
      <c r="U29" s="156">
        <f>+COUNTIFS($J:$J,"facultad",$G:$G,"8",$I:$I,"mañana")</f>
        <v>0</v>
      </c>
      <c r="V29" s="156">
        <f>+COUNTIFS($J:$J,"facultad",$G:$G,"8",$I:$I,"tarde")</f>
        <v>0</v>
      </c>
      <c r="W29" s="138">
        <f t="shared" si="19"/>
        <v>0</v>
      </c>
      <c r="X29" s="156">
        <f>+COUNTIFS($J:$J,"facultad",$G:$G,"8",$I:$I,"noche")</f>
        <v>0</v>
      </c>
      <c r="Y29" s="138">
        <f t="shared" si="20"/>
        <v>0</v>
      </c>
      <c r="Z29" s="138">
        <f t="shared" si="21"/>
        <v>0</v>
      </c>
      <c r="AA29" s="152">
        <v>8</v>
      </c>
      <c r="AB29" s="136">
        <f>+COUNTIFS($J:$J,"convenio",$G:$G,"8",$I:$I,"mañana")</f>
        <v>0</v>
      </c>
      <c r="AC29" s="136">
        <f>+COUNTIFS($J:$J,"convenio",$G:$G,"8",$I:$I,"tarde")</f>
        <v>0</v>
      </c>
      <c r="AD29" s="169">
        <f t="shared" si="22"/>
        <v>0</v>
      </c>
      <c r="AE29" s="136">
        <f>+COUNTIFS($J:$J,"convenio",$G:$G,"8",$I:$I,"noche")</f>
        <v>0</v>
      </c>
      <c r="AF29" s="136">
        <f t="shared" si="23"/>
        <v>0</v>
      </c>
      <c r="AG29" s="184">
        <f t="shared" si="24"/>
        <v>0</v>
      </c>
      <c r="AH29" s="116"/>
      <c r="AI29" s="116"/>
      <c r="AJ29" s="116"/>
      <c r="AK29" s="116"/>
      <c r="AL29" s="116"/>
      <c r="AM29" s="380" t="s">
        <v>103</v>
      </c>
      <c r="AN29" s="381">
        <f>SUM(AN20:AN28)</f>
        <v>0</v>
      </c>
      <c r="AO29" s="116"/>
      <c r="AP29" s="116"/>
      <c r="AQ29" s="116"/>
      <c r="AR29" s="116"/>
      <c r="AS29" s="116"/>
      <c r="AT29" s="116"/>
      <c r="AU29" s="116"/>
      <c r="AV29" s="116"/>
    </row>
    <row r="30" spans="1:48" s="201" customFormat="1" ht="15.75" thickBot="1" x14ac:dyDescent="0.3">
      <c r="A30" s="201" t="str">
        <f t="shared" si="15"/>
        <v>sábado</v>
      </c>
      <c r="B30" s="448"/>
      <c r="C30" s="450"/>
      <c r="D30" s="495"/>
      <c r="E30" s="451"/>
      <c r="F30" s="451"/>
      <c r="G30" s="451"/>
      <c r="H30" s="451"/>
      <c r="I30" s="495"/>
      <c r="J30" s="454"/>
      <c r="K30" s="450"/>
      <c r="L30" s="1"/>
      <c r="M30" s="221" t="s">
        <v>38</v>
      </c>
      <c r="N30" s="222"/>
      <c r="O30" s="222"/>
      <c r="P30" s="153">
        <f>SUM(P22:P29)</f>
        <v>0</v>
      </c>
      <c r="Q30" s="222"/>
      <c r="R30" s="153">
        <f>SUM(R22:R29)</f>
        <v>0</v>
      </c>
      <c r="S30" s="142">
        <f>+R30+P30</f>
        <v>0</v>
      </c>
      <c r="T30" s="204"/>
      <c r="U30" s="205"/>
      <c r="V30" s="205"/>
      <c r="W30" s="205"/>
      <c r="X30" s="205"/>
      <c r="Y30" s="205" t="s">
        <v>46</v>
      </c>
      <c r="Z30" s="206">
        <f>SUM(Z22:Z29)</f>
        <v>0</v>
      </c>
      <c r="AA30" s="204" t="s">
        <v>48</v>
      </c>
      <c r="AB30" s="205"/>
      <c r="AC30" s="205"/>
      <c r="AD30" s="205"/>
      <c r="AE30" s="205"/>
      <c r="AF30" s="205"/>
      <c r="AG30" s="206">
        <f>SUM(AG22:AG29)</f>
        <v>0</v>
      </c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</row>
    <row r="31" spans="1:48" s="201" customFormat="1" ht="15.75" thickBot="1" x14ac:dyDescent="0.3">
      <c r="A31" s="201" t="str">
        <f t="shared" si="15"/>
        <v>sábado</v>
      </c>
      <c r="B31" s="448"/>
      <c r="C31" s="436"/>
      <c r="D31" s="401"/>
      <c r="E31" s="401"/>
      <c r="F31" s="401"/>
      <c r="G31" s="401"/>
      <c r="H31" s="401"/>
      <c r="I31" s="401"/>
      <c r="J31" s="436"/>
      <c r="K31" s="496"/>
      <c r="L31" s="1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8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</row>
    <row r="32" spans="1:48" s="201" customFormat="1" ht="15.75" thickBot="1" x14ac:dyDescent="0.3">
      <c r="A32" s="201" t="str">
        <f t="shared" si="15"/>
        <v>sábado</v>
      </c>
      <c r="B32" s="448"/>
      <c r="C32" s="450"/>
      <c r="D32" s="451"/>
      <c r="E32" s="451"/>
      <c r="F32" s="451"/>
      <c r="G32" s="451"/>
      <c r="H32" s="451"/>
      <c r="I32" s="495"/>
      <c r="J32" s="454"/>
      <c r="K32" s="450"/>
      <c r="L32" s="1"/>
      <c r="M32" s="659" t="s">
        <v>50</v>
      </c>
      <c r="N32" s="660"/>
      <c r="O32" s="660"/>
      <c r="P32" s="660"/>
      <c r="Q32" s="660"/>
      <c r="R32" s="660"/>
      <c r="S32" s="661"/>
      <c r="T32" s="659" t="s">
        <v>61</v>
      </c>
      <c r="U32" s="660"/>
      <c r="V32" s="660"/>
      <c r="W32" s="660"/>
      <c r="X32" s="660"/>
      <c r="Y32" s="660"/>
      <c r="Z32" s="661"/>
      <c r="AA32" s="659" t="s">
        <v>65</v>
      </c>
      <c r="AB32" s="660"/>
      <c r="AC32" s="660"/>
      <c r="AD32" s="660"/>
      <c r="AE32" s="660"/>
      <c r="AF32" s="661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</row>
    <row r="33" spans="1:49" s="43" customFormat="1" ht="15" x14ac:dyDescent="0.25">
      <c r="A33" s="201" t="str">
        <f t="shared" si="15"/>
        <v>sábado</v>
      </c>
      <c r="B33" s="448"/>
      <c r="C33" s="439"/>
      <c r="D33" s="491"/>
      <c r="E33" s="451"/>
      <c r="F33" s="451"/>
      <c r="G33" s="457"/>
      <c r="H33" s="457"/>
      <c r="I33" s="498"/>
      <c r="J33" s="450"/>
      <c r="K33" s="450"/>
      <c r="L33" s="1"/>
      <c r="M33" s="134"/>
      <c r="N33" s="131">
        <v>70500</v>
      </c>
      <c r="O33" s="185">
        <v>70500</v>
      </c>
      <c r="P33" s="185"/>
      <c r="Q33" s="185">
        <v>83800</v>
      </c>
      <c r="R33" s="185"/>
      <c r="S33" s="186"/>
      <c r="T33" s="134"/>
      <c r="U33" s="131">
        <v>70500</v>
      </c>
      <c r="V33" s="185">
        <v>70500</v>
      </c>
      <c r="W33" s="185"/>
      <c r="X33" s="185">
        <v>83800</v>
      </c>
      <c r="Y33" s="185"/>
      <c r="Z33" s="186"/>
      <c r="AA33" s="145"/>
      <c r="AB33" s="109" t="s">
        <v>68</v>
      </c>
      <c r="AC33" s="189">
        <v>92800</v>
      </c>
      <c r="AD33" s="109"/>
      <c r="AE33" s="189">
        <v>162400</v>
      </c>
      <c r="AF33" s="212" t="s">
        <v>9</v>
      </c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</row>
    <row r="34" spans="1:49" ht="15" x14ac:dyDescent="0.25">
      <c r="A34" s="201" t="str">
        <f t="shared" si="15"/>
        <v>sábado</v>
      </c>
      <c r="B34" s="448"/>
      <c r="C34" s="436"/>
      <c r="D34" s="401"/>
      <c r="E34" s="451"/>
      <c r="F34" s="451"/>
      <c r="G34" s="451"/>
      <c r="H34" s="451"/>
      <c r="I34" s="499"/>
      <c r="J34" s="454"/>
      <c r="K34" s="450"/>
      <c r="L34" s="1"/>
      <c r="M34" s="187" t="s">
        <v>22</v>
      </c>
      <c r="N34" s="188" t="s">
        <v>16</v>
      </c>
      <c r="O34" s="188" t="s">
        <v>17</v>
      </c>
      <c r="P34" s="189"/>
      <c r="Q34" s="188" t="s">
        <v>15</v>
      </c>
      <c r="R34" s="189"/>
      <c r="S34" s="194" t="s">
        <v>28</v>
      </c>
      <c r="T34" s="187" t="s">
        <v>22</v>
      </c>
      <c r="U34" s="188" t="s">
        <v>16</v>
      </c>
      <c r="V34" s="188" t="s">
        <v>17</v>
      </c>
      <c r="W34" s="189"/>
      <c r="X34" s="188" t="s">
        <v>15</v>
      </c>
      <c r="Y34" s="189"/>
      <c r="Z34" s="194" t="s">
        <v>28</v>
      </c>
      <c r="AA34" s="213" t="s">
        <v>22</v>
      </c>
      <c r="AB34" s="214" t="s">
        <v>66</v>
      </c>
      <c r="AC34" s="189"/>
      <c r="AD34" s="214" t="s">
        <v>67</v>
      </c>
      <c r="AE34" s="189"/>
      <c r="AF34" s="190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</row>
    <row r="35" spans="1:49" s="201" customFormat="1" ht="15" x14ac:dyDescent="0.25">
      <c r="A35" s="201" t="str">
        <f t="shared" si="15"/>
        <v>sábado</v>
      </c>
      <c r="B35" s="448"/>
      <c r="C35" s="500"/>
      <c r="D35" s="451"/>
      <c r="E35" s="451"/>
      <c r="F35" s="451"/>
      <c r="G35" s="449"/>
      <c r="H35" s="449"/>
      <c r="I35" s="499"/>
      <c r="J35" s="450"/>
      <c r="K35" s="454"/>
      <c r="L35" s="1"/>
      <c r="M35" s="124">
        <v>1</v>
      </c>
      <c r="N35" s="156">
        <f>+COUNTIFS($J:$J,"PARTICULAR cortesia",$G:$G,"1",$I:$I,"mañana")</f>
        <v>0</v>
      </c>
      <c r="O35" s="156">
        <f>+COUNTIFS($J:$J,"PARTICULAR cortesia",$G:$G,"1",$I:$I,"tarde")</f>
        <v>0</v>
      </c>
      <c r="P35" s="189">
        <f>+(N35+O35)*$O$33*M35</f>
        <v>0</v>
      </c>
      <c r="Q35" s="156">
        <f>+COUNTIFS($J:$J,"PARTICULAR cortesia",$G:$G,"1",$I:$I,"noche")</f>
        <v>0</v>
      </c>
      <c r="R35" s="189">
        <f>+Q35*$Q$33</f>
        <v>0</v>
      </c>
      <c r="S35" s="190">
        <f>+R35+P35</f>
        <v>0</v>
      </c>
      <c r="T35" s="124">
        <v>1</v>
      </c>
      <c r="U35" s="156">
        <f>+COUNTIFS($J:$J,"PASE DE CORTESIA",$G:$G,"1",$I:$I,"mañana")</f>
        <v>0</v>
      </c>
      <c r="V35" s="156">
        <f>+COUNTIFS($J:$J,"PASE DE CORTESIA",$G:$G,"1",$I:$I,"tarde")</f>
        <v>0</v>
      </c>
      <c r="W35" s="189">
        <f>+(V35+U35)*$V$33*T35</f>
        <v>0</v>
      </c>
      <c r="X35" s="156">
        <f>+COUNTIFS($J:$J,"PASE DE CORTESIA",$G:$G,"1",$I:$I,"noche")</f>
        <v>0</v>
      </c>
      <c r="Y35" s="189">
        <f>+X35*$X$33</f>
        <v>0</v>
      </c>
      <c r="Z35" s="190">
        <f>+Y35+W35</f>
        <v>0</v>
      </c>
      <c r="AA35" s="145">
        <v>1</v>
      </c>
      <c r="AB35" s="156">
        <f>+COUNTIFS($J:$J,"PARTICULAR MENSUALIDAD",$G:$G,"4")</f>
        <v>0</v>
      </c>
      <c r="AC35" s="189">
        <f>'FUTBOL 5'!B8317</f>
        <v>0</v>
      </c>
      <c r="AD35" s="235">
        <f>+COUNTIFS($J:$J,"PARTICULAR MENSUALIDAD",$G:$G,"8")</f>
        <v>0</v>
      </c>
      <c r="AE35" s="189">
        <f>+$AE$33*AD35</f>
        <v>0</v>
      </c>
      <c r="AF35" s="190">
        <f>+AE35+AC35</f>
        <v>0</v>
      </c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</row>
    <row r="36" spans="1:49" s="201" customFormat="1" ht="15" x14ac:dyDescent="0.25">
      <c r="A36" s="201" t="str">
        <f t="shared" si="15"/>
        <v>sábado</v>
      </c>
      <c r="B36" s="448"/>
      <c r="C36" s="450"/>
      <c r="D36" s="451"/>
      <c r="E36" s="451"/>
      <c r="F36" s="451"/>
      <c r="G36" s="451"/>
      <c r="H36" s="451"/>
      <c r="I36" s="499"/>
      <c r="J36" s="450"/>
      <c r="K36" s="454"/>
      <c r="L36" s="1"/>
      <c r="M36" s="191">
        <v>2</v>
      </c>
      <c r="N36" s="156">
        <f>+COUNTIFS($J:$J,"PARTICULAR cortesia",$G:$G,"2",$I:$I,"mañana")</f>
        <v>0</v>
      </c>
      <c r="O36" s="156">
        <f>+COUNTIFS($J:$J,"PARTICULAR cortesia",$G:$G,"2",$I:$I,"tarde")</f>
        <v>0</v>
      </c>
      <c r="P36" s="189">
        <f t="shared" ref="P36:P37" si="25">+(N36+O36)*$O$33*M36</f>
        <v>0</v>
      </c>
      <c r="Q36" s="156">
        <f>+COUNTIFS($J:$J,"PARTICULAR cortesia",$G:$G,"2",$I:$I,"noche")</f>
        <v>0</v>
      </c>
      <c r="R36" s="189">
        <f t="shared" ref="R36:R37" si="26">+Q36*$Q$33</f>
        <v>0</v>
      </c>
      <c r="S36" s="190">
        <f t="shared" ref="S36:S37" si="27">+R36+P36</f>
        <v>0</v>
      </c>
      <c r="T36" s="191">
        <v>2</v>
      </c>
      <c r="U36" s="156">
        <f>+COUNTIFS($J:$J,"PASE DE CORTESIA",$G:$G,"2",$I:$I,"mañana")</f>
        <v>0</v>
      </c>
      <c r="V36" s="156">
        <f>+COUNTIFS($J:$J,"PASE DE CORTESIA",$G:$G,"2",$I:$I,"tarde")</f>
        <v>0</v>
      </c>
      <c r="W36" s="189">
        <f t="shared" ref="W36:W37" si="28">+(V36+U36)*$V$33*T36</f>
        <v>0</v>
      </c>
      <c r="X36" s="156">
        <f>+COUNTIFS($J:$J,"PASE DE CORTESIA",$G:$G,"2",$I:$I,"noche")</f>
        <v>0</v>
      </c>
      <c r="Y36" s="189">
        <f t="shared" ref="Y36:Y37" si="29">+X36*$X$33</f>
        <v>0</v>
      </c>
      <c r="Z36" s="190">
        <f t="shared" ref="Z36:Z37" si="30">+Y36+W36</f>
        <v>0</v>
      </c>
      <c r="AA36" s="145"/>
      <c r="AB36" s="156"/>
      <c r="AC36" s="156"/>
      <c r="AD36" s="156"/>
      <c r="AE36" s="156"/>
      <c r="AF36" s="125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</row>
    <row r="37" spans="1:49" s="201" customFormat="1" ht="15.75" thickBot="1" x14ac:dyDescent="0.3">
      <c r="A37" s="201" t="str">
        <f t="shared" si="15"/>
        <v>sábado</v>
      </c>
      <c r="B37" s="448"/>
      <c r="C37" s="500"/>
      <c r="D37" s="451"/>
      <c r="E37" s="451"/>
      <c r="F37" s="451"/>
      <c r="G37" s="449"/>
      <c r="H37" s="449"/>
      <c r="I37" s="499"/>
      <c r="J37" s="454"/>
      <c r="K37" s="450"/>
      <c r="L37" s="1"/>
      <c r="M37" s="192">
        <v>3</v>
      </c>
      <c r="N37" s="136">
        <f>+COUNTIFS($J:$J,"PARTICULAR cortesia",$G:$G,"3",$I:$I,"mañana")</f>
        <v>0</v>
      </c>
      <c r="O37" s="136">
        <f>+COUNTIFS($J:$J,"PARTICULAR cortesia",$G:$G,"3",$I:$I,"tarde")</f>
        <v>0</v>
      </c>
      <c r="P37" s="193">
        <f t="shared" si="25"/>
        <v>0</v>
      </c>
      <c r="Q37" s="136">
        <f>+COUNTIFS($J:$J,"PARTICULAR cortesia",$G:$G,"3",$I:$I,"noche")</f>
        <v>0</v>
      </c>
      <c r="R37" s="193">
        <f t="shared" si="26"/>
        <v>0</v>
      </c>
      <c r="S37" s="190">
        <f t="shared" si="27"/>
        <v>0</v>
      </c>
      <c r="T37" s="192">
        <v>3</v>
      </c>
      <c r="U37" s="136">
        <f>+COUNTIFS($J:$J,"PASE DE CORTESIA",$G:$G,"3",$I:$I,"mañana")</f>
        <v>0</v>
      </c>
      <c r="V37" s="136">
        <f>+COUNTIFS($J:$J,"PASE DE CORTESIA",$G:$G,"3",$I:$I,"tarde")</f>
        <v>0</v>
      </c>
      <c r="W37" s="193">
        <f t="shared" si="28"/>
        <v>0</v>
      </c>
      <c r="X37" s="136">
        <f>+COUNTIFS($J:$J,"PASE DE CORTESIA",$G:$G,"3",$I:$I,"noche")</f>
        <v>0</v>
      </c>
      <c r="Y37" s="193">
        <f t="shared" si="29"/>
        <v>0</v>
      </c>
      <c r="Z37" s="196">
        <f t="shared" si="30"/>
        <v>0</v>
      </c>
      <c r="AA37" s="152"/>
      <c r="AB37" s="136"/>
      <c r="AC37" s="130"/>
      <c r="AD37" s="136"/>
      <c r="AE37" s="130"/>
      <c r="AF37" s="215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</row>
    <row r="38" spans="1:49" s="43" customFormat="1" ht="15.75" thickBot="1" x14ac:dyDescent="0.3">
      <c r="A38" s="201" t="str">
        <f t="shared" si="15"/>
        <v>sábado</v>
      </c>
      <c r="B38" s="448"/>
      <c r="C38" s="439"/>
      <c r="D38" s="503"/>
      <c r="E38" s="451"/>
      <c r="F38" s="451"/>
      <c r="G38" s="451"/>
      <c r="H38" s="451"/>
      <c r="I38" s="503"/>
      <c r="J38" s="454"/>
      <c r="K38" s="450"/>
      <c r="L38" s="1"/>
      <c r="M38" s="42"/>
      <c r="N38" s="156"/>
      <c r="O38" s="156"/>
      <c r="P38" s="111"/>
      <c r="Q38" s="156"/>
      <c r="R38" s="195" t="s">
        <v>52</v>
      </c>
      <c r="S38" s="195">
        <f>SUM(S35:S37)</f>
        <v>0</v>
      </c>
      <c r="T38" s="42"/>
      <c r="U38" s="42"/>
      <c r="V38" s="42"/>
      <c r="W38" s="42"/>
      <c r="X38" s="42"/>
      <c r="Y38" s="195" t="s">
        <v>75</v>
      </c>
      <c r="Z38" s="195">
        <f>SUM(Z35:Z37)</f>
        <v>0</v>
      </c>
      <c r="AB38" s="42"/>
      <c r="AC38" s="42"/>
      <c r="AD38" s="42"/>
      <c r="AE38" s="216" t="s">
        <v>69</v>
      </c>
      <c r="AF38" s="217">
        <f>+AF35</f>
        <v>0</v>
      </c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</row>
    <row r="39" spans="1:49" s="201" customFormat="1" ht="15.75" thickBot="1" x14ac:dyDescent="0.3">
      <c r="A39" s="201" t="str">
        <f t="shared" si="15"/>
        <v>sábado</v>
      </c>
      <c r="B39" s="448"/>
      <c r="C39" s="504"/>
      <c r="D39" s="503"/>
      <c r="E39" s="451"/>
      <c r="F39" s="451"/>
      <c r="G39" s="451"/>
      <c r="H39" s="451"/>
      <c r="I39" s="503"/>
      <c r="J39" s="454"/>
      <c r="K39" s="450"/>
      <c r="L39" s="1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43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</row>
    <row r="40" spans="1:49" s="201" customFormat="1" ht="15.75" thickBot="1" x14ac:dyDescent="0.3">
      <c r="A40" s="201" t="str">
        <f t="shared" si="15"/>
        <v>sábado</v>
      </c>
      <c r="B40" s="459"/>
      <c r="C40" s="436"/>
      <c r="D40" s="401"/>
      <c r="E40" s="451"/>
      <c r="F40" s="451"/>
      <c r="G40" s="451"/>
      <c r="H40" s="451"/>
      <c r="I40" s="503"/>
      <c r="J40" s="454"/>
      <c r="K40" s="450"/>
      <c r="L40" s="1"/>
      <c r="M40" s="87"/>
      <c r="N40" s="87"/>
      <c r="O40" s="87"/>
      <c r="P40" s="87"/>
      <c r="Q40" s="655" t="s">
        <v>115</v>
      </c>
      <c r="R40" s="656"/>
      <c r="S40" s="656"/>
      <c r="T40" s="656"/>
      <c r="U40" s="656"/>
      <c r="V40" s="656"/>
      <c r="W40" s="656"/>
      <c r="X40" s="656"/>
      <c r="Y40" s="656"/>
      <c r="Z40" s="656"/>
      <c r="AA40" s="656"/>
      <c r="AB40" s="656"/>
      <c r="AC40" s="657"/>
      <c r="AD40" s="118"/>
      <c r="AE40" s="118"/>
      <c r="AF40" s="118"/>
      <c r="AG40" s="655" t="s">
        <v>149</v>
      </c>
      <c r="AH40" s="656"/>
      <c r="AI40" s="656"/>
      <c r="AJ40" s="656"/>
      <c r="AK40" s="656"/>
      <c r="AL40" s="656"/>
      <c r="AM40" s="656"/>
      <c r="AN40" s="656"/>
      <c r="AO40" s="656"/>
      <c r="AP40" s="656"/>
      <c r="AQ40" s="656"/>
      <c r="AR40" s="656"/>
      <c r="AS40" s="657"/>
      <c r="AT40" s="118"/>
      <c r="AU40" s="87"/>
      <c r="AV40" s="198"/>
    </row>
    <row r="41" spans="1:49" s="201" customFormat="1" ht="15.75" thickBot="1" x14ac:dyDescent="0.3">
      <c r="A41" s="201" t="str">
        <f t="shared" si="15"/>
        <v>sábado</v>
      </c>
      <c r="B41" s="459"/>
      <c r="C41" s="504"/>
      <c r="D41" s="451"/>
      <c r="E41" s="451"/>
      <c r="F41" s="451"/>
      <c r="G41" s="451"/>
      <c r="H41" s="451"/>
      <c r="I41" s="503"/>
      <c r="J41" s="454"/>
      <c r="K41" s="450"/>
      <c r="L41" s="1"/>
      <c r="M41" s="649" t="s">
        <v>114</v>
      </c>
      <c r="N41" s="645"/>
      <c r="O41" s="646"/>
      <c r="P41" s="87"/>
      <c r="Q41" s="253"/>
      <c r="R41" s="653" t="s">
        <v>105</v>
      </c>
      <c r="S41" s="654"/>
      <c r="T41" s="653" t="s">
        <v>106</v>
      </c>
      <c r="U41" s="654"/>
      <c r="V41" s="653" t="s">
        <v>111</v>
      </c>
      <c r="W41" s="654"/>
      <c r="X41" s="653" t="s">
        <v>107</v>
      </c>
      <c r="Y41" s="654"/>
      <c r="Z41" s="653" t="s">
        <v>108</v>
      </c>
      <c r="AA41" s="654"/>
      <c r="AB41" s="653" t="s">
        <v>112</v>
      </c>
      <c r="AC41" s="654"/>
      <c r="AD41" s="199"/>
      <c r="AE41" s="199"/>
      <c r="AF41" s="199"/>
      <c r="AG41" s="253"/>
      <c r="AH41" s="653" t="s">
        <v>105</v>
      </c>
      <c r="AI41" s="654"/>
      <c r="AJ41" s="653" t="s">
        <v>106</v>
      </c>
      <c r="AK41" s="654"/>
      <c r="AL41" s="653" t="s">
        <v>111</v>
      </c>
      <c r="AM41" s="654"/>
      <c r="AN41" s="653" t="s">
        <v>107</v>
      </c>
      <c r="AO41" s="654"/>
      <c r="AP41" s="653" t="s">
        <v>108</v>
      </c>
      <c r="AQ41" s="654"/>
      <c r="AR41" s="653" t="s">
        <v>112</v>
      </c>
      <c r="AS41" s="654"/>
      <c r="AT41" s="87"/>
      <c r="AU41" s="87"/>
      <c r="AV41" s="197"/>
    </row>
    <row r="42" spans="1:49" s="43" customFormat="1" ht="15" x14ac:dyDescent="0.25">
      <c r="A42" s="201" t="str">
        <f t="shared" si="15"/>
        <v>sábado</v>
      </c>
      <c r="B42" s="459"/>
      <c r="C42" s="450"/>
      <c r="D42" s="507"/>
      <c r="E42" s="451"/>
      <c r="F42" s="451"/>
      <c r="G42" s="451"/>
      <c r="H42" s="451"/>
      <c r="I42" s="507"/>
      <c r="J42" s="454"/>
      <c r="K42" s="450"/>
      <c r="L42" s="1"/>
      <c r="M42" s="260" t="s">
        <v>113</v>
      </c>
      <c r="N42" s="261" t="s">
        <v>109</v>
      </c>
      <c r="O42" s="262" t="s">
        <v>110</v>
      </c>
      <c r="P42" s="87"/>
      <c r="Q42" s="263" t="s">
        <v>120</v>
      </c>
      <c r="R42" s="264" t="s">
        <v>109</v>
      </c>
      <c r="S42" s="265" t="s">
        <v>117</v>
      </c>
      <c r="T42" s="264" t="s">
        <v>109</v>
      </c>
      <c r="U42" s="265" t="s">
        <v>117</v>
      </c>
      <c r="V42" s="264" t="s">
        <v>109</v>
      </c>
      <c r="W42" s="265" t="s">
        <v>117</v>
      </c>
      <c r="X42" s="266" t="s">
        <v>109</v>
      </c>
      <c r="Y42" s="267" t="s">
        <v>117</v>
      </c>
      <c r="Z42" s="264" t="s">
        <v>109</v>
      </c>
      <c r="AA42" s="265" t="s">
        <v>117</v>
      </c>
      <c r="AB42" s="266" t="s">
        <v>109</v>
      </c>
      <c r="AC42" s="267" t="s">
        <v>117</v>
      </c>
      <c r="AD42" s="280" t="s">
        <v>150</v>
      </c>
      <c r="AE42" s="281" t="s">
        <v>151</v>
      </c>
      <c r="AF42" s="199"/>
      <c r="AG42" s="263" t="s">
        <v>120</v>
      </c>
      <c r="AH42" s="264" t="s">
        <v>109</v>
      </c>
      <c r="AI42" s="265" t="s">
        <v>117</v>
      </c>
      <c r="AJ42" s="264" t="s">
        <v>109</v>
      </c>
      <c r="AK42" s="265" t="s">
        <v>117</v>
      </c>
      <c r="AL42" s="264" t="s">
        <v>109</v>
      </c>
      <c r="AM42" s="265" t="s">
        <v>117</v>
      </c>
      <c r="AN42" s="266" t="s">
        <v>109</v>
      </c>
      <c r="AO42" s="267" t="s">
        <v>117</v>
      </c>
      <c r="AP42" s="264" t="s">
        <v>109</v>
      </c>
      <c r="AQ42" s="265" t="s">
        <v>117</v>
      </c>
      <c r="AR42" s="266" t="s">
        <v>109</v>
      </c>
      <c r="AS42" s="265" t="s">
        <v>117</v>
      </c>
      <c r="AT42" s="280" t="s">
        <v>150</v>
      </c>
      <c r="AU42" s="281" t="s">
        <v>151</v>
      </c>
      <c r="AV42" s="198"/>
    </row>
    <row r="43" spans="1:49" s="43" customFormat="1" ht="15" x14ac:dyDescent="0.25">
      <c r="A43" s="201" t="str">
        <f t="shared" si="15"/>
        <v>sábado</v>
      </c>
      <c r="B43" s="459"/>
      <c r="C43" s="450"/>
      <c r="D43" s="507"/>
      <c r="E43" s="451"/>
      <c r="F43" s="451"/>
      <c r="G43" s="401"/>
      <c r="H43" s="401"/>
      <c r="I43" s="507"/>
      <c r="J43" s="454"/>
      <c r="K43" s="454"/>
      <c r="L43" s="1"/>
      <c r="M43" s="260" t="s">
        <v>105</v>
      </c>
      <c r="N43" s="246">
        <f>+COUNTIF(A:A,"lunes")</f>
        <v>0</v>
      </c>
      <c r="O43" s="248">
        <f>+SUMIF(A:A,"lunes",H:H)</f>
        <v>0</v>
      </c>
      <c r="P43" s="87"/>
      <c r="Q43" s="254" t="s">
        <v>78</v>
      </c>
      <c r="R43" s="247">
        <f>+COUNTIFS($J:$J,"estudiante_ucm",$K:$K,"Adm. Turística",$A:$A,"lunes")</f>
        <v>0</v>
      </c>
      <c r="S43" s="248">
        <f>+SUMIFS($H:$H,$J:$J,"estudiante_ucm",$K:$K,"Adm. Turística",$A:$A,"lunes")</f>
        <v>0</v>
      </c>
      <c r="T43" s="247">
        <f>+COUNTIFS($J:$J,"estudiante_ucm",$K:$K,"Adm. Turística",$A:$A,"martes")</f>
        <v>0</v>
      </c>
      <c r="U43" s="248">
        <f>+SUMIFS($H:$H,$J:$J,"estudiante_ucm",$K:$K,"Adm. Turística",$A:$A,"martes")</f>
        <v>0</v>
      </c>
      <c r="V43" s="247">
        <f>+COUNTIFS($J:$J,"estudiante_ucm",$K:$K,"Adm. Turística",$A:$A,"Miércoles")</f>
        <v>0</v>
      </c>
      <c r="W43" s="248">
        <f>+SUMIFS($H:$H,$J:$J,"estudiante_ucm",$K:$K,"Adm. Turística",$A:$A,"Miércoles")</f>
        <v>0</v>
      </c>
      <c r="X43" s="255">
        <f>+COUNTIFS($J:$J,"estudiante_ucm",$K:$K,"Adm. Turística",$A:$A,"Jueves")</f>
        <v>0</v>
      </c>
      <c r="Y43" s="258">
        <f>+SUMIFS($H:$H,$J:$J,"estudiante_ucm",$K:$K,"Adm. Turística",$A:$A,"Jueves")</f>
        <v>0</v>
      </c>
      <c r="Z43" s="247">
        <f>+COUNTIFS($J:$J,"estudiante_ucm",$K:$K,"Adm. Turística",$A:$A,"viernes")</f>
        <v>0</v>
      </c>
      <c r="AA43" s="248">
        <f>+SUMIFS($H:$H,$J:$J,"estudiante_ucm",$K:$K,"Adm. Turística",$A:$A,"viernes")</f>
        <v>0</v>
      </c>
      <c r="AB43" s="255">
        <f>+COUNTIFS($J:$J,"estudiante_ucm",$K:$K,"Adm. Turística",$A:$A,"Sábado")</f>
        <v>0</v>
      </c>
      <c r="AC43" s="258">
        <f>+SUMIFS($H:$H,$J:$J,"estudiante_ucm",$K:$K,"Adm. Turística",$A:$A,"Sábado")</f>
        <v>0</v>
      </c>
      <c r="AD43" s="257">
        <f>+R43+T43+V43+X43+Z43+AB43</f>
        <v>0</v>
      </c>
      <c r="AE43" s="252">
        <f>+S43+U43+W43+Y43+AA43+AC43</f>
        <v>0</v>
      </c>
      <c r="AF43" s="199"/>
      <c r="AG43" s="254" t="s">
        <v>78</v>
      </c>
      <c r="AH43" s="247">
        <f>+COUNTIFS($J:$J,"egresado_ucm",$K:$K,"Adm. Turística",$A:$A,"lunes")</f>
        <v>0</v>
      </c>
      <c r="AI43" s="248">
        <f>+SUMIFS($H:$H,$J:$J,"egresado_ucm",$K:$K,"Adm. Turística",$A:$A,"lunes")</f>
        <v>0</v>
      </c>
      <c r="AJ43" s="247">
        <f>+COUNTIFS($J:$J,"egresado_ucm",$K:$K,"Adm. Turística",$A:$A,"martes")</f>
        <v>0</v>
      </c>
      <c r="AK43" s="248">
        <f>+SUMIFS($H:$H,$J:$J,"egresado_ucm",$K:$K,"Adm. Turística",$A:$A,"martes")</f>
        <v>0</v>
      </c>
      <c r="AL43" s="247">
        <f>+COUNTIFS($J:$J,"egresado_ucm",$K:$K,"Adm. Turística",$A:$A,"Miércoles")</f>
        <v>0</v>
      </c>
      <c r="AM43" s="248">
        <f>+SUMIFS($H:$H,$J:$J,"egresado_ucm",$K:$K,"Adm. Turística",$A:$A,"Miércoles")</f>
        <v>0</v>
      </c>
      <c r="AN43" s="255">
        <f>+COUNTIFS($J:$J,"egresado_ucm",$K:$K,"Adm. Turística",$A:$A,"Jueves")</f>
        <v>0</v>
      </c>
      <c r="AO43" s="258">
        <f>+SUMIFS($H:$H,$J:$J,"egresado_ucm",$K:$K,"Adm. Turística",$A:$A,"Jueves")</f>
        <v>0</v>
      </c>
      <c r="AP43" s="247">
        <f>+COUNTIFS($J:$J,"egresado_ucm",$K:$K,"Adm. Turística",$A:$A,"viernes")</f>
        <v>0</v>
      </c>
      <c r="AQ43" s="248">
        <f>+SUMIFS($H:$H,$J:$J,"egresado_ucm",$K:$K,"Adm. Turística",$A:$A,"viernes")</f>
        <v>0</v>
      </c>
      <c r="AR43" s="255">
        <f>+COUNTIFS($J:$J,"egresado_ucm",$K:$K,"Adm. Turística",$A:$A,"Sábado")</f>
        <v>0</v>
      </c>
      <c r="AS43" s="248">
        <f>+SUMIFS($H:$H,$J:$J,"egresado_ucm",$K:$K,"Adm. Turística",$A:$A,"Sábado")</f>
        <v>0</v>
      </c>
      <c r="AT43" s="257">
        <f>+AH43+AJ43+AL43+AN43+AP43+AR43</f>
        <v>0</v>
      </c>
      <c r="AU43" s="252">
        <f>+AI43+AK43+AM43+AO43+AQ43+AS43</f>
        <v>0</v>
      </c>
      <c r="AV43" s="198"/>
    </row>
    <row r="44" spans="1:49" s="201" customFormat="1" ht="15" x14ac:dyDescent="0.25">
      <c r="A44" s="201" t="str">
        <f t="shared" si="15"/>
        <v>sábado</v>
      </c>
      <c r="B44" s="508"/>
      <c r="C44" s="441"/>
      <c r="D44" s="440"/>
      <c r="E44" s="440"/>
      <c r="F44" s="440"/>
      <c r="G44" s="449"/>
      <c r="H44" s="449"/>
      <c r="I44" s="440"/>
      <c r="J44" s="447"/>
      <c r="K44" s="422"/>
      <c r="L44" s="1"/>
      <c r="M44" s="260" t="s">
        <v>106</v>
      </c>
      <c r="N44" s="246">
        <f>+COUNTIF(A:A,"Martes")</f>
        <v>0</v>
      </c>
      <c r="O44" s="248">
        <f>+SUMIF(A:A,"martes",H:H)</f>
        <v>0</v>
      </c>
      <c r="P44" s="87"/>
      <c r="Q44" s="254" t="s">
        <v>79</v>
      </c>
      <c r="R44" s="247">
        <f>+COUNTIFS($J:$J,"estudiante_ucm",$K:$K,"Arquitectura",$A:$A,"lunes")</f>
        <v>0</v>
      </c>
      <c r="S44" s="248">
        <f>+SUMIFS($H:$H,$J:$J,"estudiante_ucm",$K:$K,"arquitectura",$A:$A,"lunes")</f>
        <v>0</v>
      </c>
      <c r="T44" s="247">
        <f>+COUNTIFS($J:$J,"estudiante_ucm",$K:$K,"Arquitectura",$A:$A,"martes")</f>
        <v>0</v>
      </c>
      <c r="U44" s="248">
        <f>+SUMIFS($H:$H,$J:$J,"estudiante_ucm",$K:$K,"arquitectura",$A:$A,"Martes")</f>
        <v>0</v>
      </c>
      <c r="V44" s="247">
        <f>+COUNTIFS($J:$J,"estudiante_ucm",$K:$K,"Arquitectura",$A:$A,"Miércoles")</f>
        <v>0</v>
      </c>
      <c r="W44" s="248">
        <f>+SUMIFS($H:$H,$J:$J,"estudiante_ucm",$K:$K,"arquitectura",$A:$A,"Miércoles")</f>
        <v>0</v>
      </c>
      <c r="X44" s="255">
        <f>+COUNTIFS($J:$J,"estudiante_ucm",$K:$K,"Arquitectura",$A:$A,"Jueves")</f>
        <v>0</v>
      </c>
      <c r="Y44" s="258">
        <f>+SUMIFS($H:$H,$J:$J,"estudiante_ucm",$K:$K,"arquitectura",$A:$A,"Jueves")</f>
        <v>0</v>
      </c>
      <c r="Z44" s="247">
        <f>+COUNTIFS($J:$J,"estudiante_ucm",$K:$K,"Arquitectura",$A:$A,"viernes")</f>
        <v>0</v>
      </c>
      <c r="AA44" s="248">
        <f>+SUMIFS($H:$H,$J:$J,"estudiante_ucm",$K:$K,"arquitectura",$A:$A,"viernes")</f>
        <v>0</v>
      </c>
      <c r="AB44" s="255">
        <f>+COUNTIFS($J:$J,"estudiante_ucm",$K:$K,"Arquitectura",$A:$A,"Sábado")</f>
        <v>0</v>
      </c>
      <c r="AC44" s="258">
        <f>+SUMIFS($H:$H,$J:$J,"estudiante_ucm",$K:$K,"arquitectura",$A:$A,"Sábado")</f>
        <v>0</v>
      </c>
      <c r="AD44" s="257">
        <f t="shared" ref="AD44:AE52" si="31">+R44+T44+V44+X44+Z44+AB44</f>
        <v>0</v>
      </c>
      <c r="AE44" s="252">
        <f t="shared" si="31"/>
        <v>0</v>
      </c>
      <c r="AF44" s="199"/>
      <c r="AG44" s="254" t="s">
        <v>79</v>
      </c>
      <c r="AH44" s="247">
        <f>+COUNTIFS($J:$J,"egresado_ucm",$K:$K,"Arquitectura",$A:$A,"lunes")</f>
        <v>0</v>
      </c>
      <c r="AI44" s="248">
        <f>+SUMIFS($H:$H,$J:$J,"egresado_ucm",$K:$K,"arquitectura",$A:$A,"lunes")</f>
        <v>0</v>
      </c>
      <c r="AJ44" s="247">
        <f>+COUNTIFS($J:$J,"egresado_ucm",$K:$K,"Arquitectura",$A:$A,"martes")</f>
        <v>0</v>
      </c>
      <c r="AK44" s="248">
        <f>+SUMIFS($H:$H,$J:$J,"egresado_ucm",$K:$K,"arquitectura",$A:$A,"Martes")</f>
        <v>0</v>
      </c>
      <c r="AL44" s="247">
        <f>+COUNTIFS($J:$J,"egresado_ucm",$K:$K,"Arquitectura",$A:$A,"Miércoles")</f>
        <v>0</v>
      </c>
      <c r="AM44" s="248">
        <f>+SUMIFS($H:$H,$J:$J,"egresado_ucm",$K:$K,"arquitectura",$A:$A,"Miércoles")</f>
        <v>0</v>
      </c>
      <c r="AN44" s="255">
        <f>+COUNTIFS($J:$J,"egresado_ucm",$K:$K,"Arquitectura",$A:$A,"Jueves")</f>
        <v>0</v>
      </c>
      <c r="AO44" s="258">
        <f>+SUMIFS($H:$H,$J:$J,"egresado_ucm",$K:$K,"arquitectura",$A:$A,"Jueves")</f>
        <v>0</v>
      </c>
      <c r="AP44" s="247">
        <f>+COUNTIFS($J:$J,"egresado_ucm",$K:$K,"Arquitectura",$A:$A,"viernes")</f>
        <v>0</v>
      </c>
      <c r="AQ44" s="248">
        <f>+SUMIFS($H:$H,$J:$J,"egresado_ucm",$K:$K,"arquitectura",$A:$A,"viernes")</f>
        <v>0</v>
      </c>
      <c r="AR44" s="255">
        <f>+COUNTIFS($J:$J,"egresado_ucm",$K:$K,"Arquitectura",$A:$A,"Sábado")</f>
        <v>0</v>
      </c>
      <c r="AS44" s="248">
        <f>+SUMIFS($H:$H,$J:$J,"egresado_ucm",$K:$K,"arquitectura",$A:$A,"Sábado")</f>
        <v>0</v>
      </c>
      <c r="AT44" s="257">
        <f t="shared" ref="AT44:AU52" si="32">+AH44+AJ44+AL44+AN44+AP44+AR44</f>
        <v>0</v>
      </c>
      <c r="AU44" s="252">
        <f t="shared" si="32"/>
        <v>0</v>
      </c>
      <c r="AV44" s="197"/>
    </row>
    <row r="45" spans="1:49" s="201" customFormat="1" ht="15" x14ac:dyDescent="0.25">
      <c r="A45" s="201" t="str">
        <f t="shared" si="15"/>
        <v>sábado</v>
      </c>
      <c r="B45" s="459"/>
      <c r="C45" s="470"/>
      <c r="D45" s="451"/>
      <c r="E45" s="451"/>
      <c r="F45" s="451"/>
      <c r="G45" s="451"/>
      <c r="H45" s="451"/>
      <c r="I45" s="401"/>
      <c r="J45" s="454"/>
      <c r="K45" s="450"/>
      <c r="L45" s="1"/>
      <c r="M45" s="260" t="s">
        <v>111</v>
      </c>
      <c r="N45" s="246">
        <f>+COUNTIF(A:A,"miércoles")</f>
        <v>0</v>
      </c>
      <c r="O45" s="248">
        <f>+SUMIF(A:A,"miércoles",H:H)</f>
        <v>0</v>
      </c>
      <c r="P45" s="87"/>
      <c r="Q45" s="254" t="s">
        <v>80</v>
      </c>
      <c r="R45" s="247">
        <f>+COUNTIFS($J:$J,"estudiante_ucm",$K:$K,"bacteriología",$A:$A,"lunes")</f>
        <v>0</v>
      </c>
      <c r="S45" s="248">
        <f>+SUMIFS($H:$H,$J:$J,"estudiante_ucm",$K:$K,"bacteriología",$A:$A,"lunes")</f>
        <v>0</v>
      </c>
      <c r="T45" s="247">
        <f>+COUNTIFS($J:$J,"estudiante_ucm",$K:$K,"bacteriología",$A:$A,"martes")</f>
        <v>0</v>
      </c>
      <c r="U45" s="248">
        <f>+SUMIFS($H:$H,$J:$J,"estudiante_ucm",$K:$K,"bacteriología",$A:$A,"Martes")</f>
        <v>0</v>
      </c>
      <c r="V45" s="247">
        <f>+COUNTIFS($J:$J,"estudiante_ucm",$K:$K,"bacteriología",$A:$A,"Miércoles")</f>
        <v>0</v>
      </c>
      <c r="W45" s="248">
        <f>+SUMIFS($H:$H,$J:$J,"estudiante_ucm",$K:$K,"bacteriología",$A:$A,"Miércoles")</f>
        <v>0</v>
      </c>
      <c r="X45" s="255">
        <f>+COUNTIFS($J:$J,"estudiante_ucm",$K:$K,"bacteriología",$A:$A,"Jueves")</f>
        <v>0</v>
      </c>
      <c r="Y45" s="258">
        <f>+SUMIFS($H:$H,$J:$J,"estudiante_ucm",$K:$K,"bacteriología",$A:$A,"Jueves")</f>
        <v>0</v>
      </c>
      <c r="Z45" s="247">
        <f>+COUNTIFS($J:$J,"estudiante_ucm",$K:$K,"bacteriología",$A:$A,"viernes")</f>
        <v>0</v>
      </c>
      <c r="AA45" s="248">
        <f>+SUMIFS($H:$H,$J:$J,"estudiante_ucm",$K:$K,"bacteriología",$A:$A,"viernes")</f>
        <v>0</v>
      </c>
      <c r="AB45" s="255">
        <f>+COUNTIFS($J:$J,"estudiante_ucm",$K:$K,"bacteriología",$A:$A,"Sábado")</f>
        <v>0</v>
      </c>
      <c r="AC45" s="258">
        <f>+SUMIFS($H:$H,$J:$J,"estudiante_ucm",$K:$K,"bacteriología",$A:$A,"Sábado")</f>
        <v>0</v>
      </c>
      <c r="AD45" s="257">
        <f t="shared" si="31"/>
        <v>0</v>
      </c>
      <c r="AE45" s="252">
        <f t="shared" si="31"/>
        <v>0</v>
      </c>
      <c r="AF45" s="118"/>
      <c r="AG45" s="254" t="s">
        <v>80</v>
      </c>
      <c r="AH45" s="247">
        <f>+COUNTIFS($J:$J,"egresado_ucm",$K:$K,"bacteriología",$A:$A,"lunes")</f>
        <v>0</v>
      </c>
      <c r="AI45" s="248">
        <f>+SUMIFS($H:$H,$J:$J,"egresado_ucm",$K:$K,"bacteriología",$A:$A,"lunes")</f>
        <v>0</v>
      </c>
      <c r="AJ45" s="247">
        <f>+COUNTIFS($J:$J,"egresado_ucm",$K:$K,"bacteriología",$A:$A,"martes")</f>
        <v>0</v>
      </c>
      <c r="AK45" s="248">
        <f>+SUMIFS($H:$H,$J:$J,"egresado_ucm",$K:$K,"bacteriología",$A:$A,"Martes")</f>
        <v>0</v>
      </c>
      <c r="AL45" s="247">
        <f>+COUNTIFS($J:$J,"egresado_ucm",$K:$K,"bacteriología",$A:$A,"Miércoles")</f>
        <v>0</v>
      </c>
      <c r="AM45" s="248">
        <f>+SUMIFS($H:$H,$J:$J,"egresado_ucm",$K:$K,"bacteriología",$A:$A,"Miércoles")</f>
        <v>0</v>
      </c>
      <c r="AN45" s="255">
        <f>+COUNTIFS($J:$J,"egresado_ucm",$K:$K,"bacteriología",$A:$A,"Jueves")</f>
        <v>0</v>
      </c>
      <c r="AO45" s="258">
        <f>+SUMIFS($H:$H,$J:$J,"egresado_ucm",$K:$K,"bacteriología",$A:$A,"Jueves")</f>
        <v>0</v>
      </c>
      <c r="AP45" s="247">
        <f>+COUNTIFS($J:$J,"egresado_ucm",$K:$K,"bacteriología",$A:$A,"viernes")</f>
        <v>0</v>
      </c>
      <c r="AQ45" s="248">
        <f>+SUMIFS($H:$H,$J:$J,"egresado_ucm",$K:$K,"bacteriología",$A:$A,"viernes")</f>
        <v>0</v>
      </c>
      <c r="AR45" s="255">
        <f>+COUNTIFS($J:$J,"egresado_ucm",$K:$K,"bacteriología",$A:$A,"Sábado")</f>
        <v>0</v>
      </c>
      <c r="AS45" s="248">
        <f>+SUMIFS($H:$H,$J:$J,"egresado_ucm",$K:$K,"bacteriología",$A:$A,"Sábado")</f>
        <v>0</v>
      </c>
      <c r="AT45" s="257">
        <f t="shared" si="32"/>
        <v>0</v>
      </c>
      <c r="AU45" s="252">
        <f t="shared" si="32"/>
        <v>0</v>
      </c>
      <c r="AV45" s="198"/>
      <c r="AW45" s="198"/>
    </row>
    <row r="46" spans="1:49" s="43" customFormat="1" ht="15" x14ac:dyDescent="0.25">
      <c r="A46" s="201" t="str">
        <f t="shared" si="15"/>
        <v>sábado</v>
      </c>
      <c r="B46" s="459"/>
      <c r="C46" s="450"/>
      <c r="D46" s="451"/>
      <c r="E46" s="451"/>
      <c r="F46" s="451"/>
      <c r="G46" s="449"/>
      <c r="H46" s="449"/>
      <c r="I46" s="451"/>
      <c r="J46" s="454"/>
      <c r="K46" s="450"/>
      <c r="L46" s="1"/>
      <c r="M46" s="260" t="s">
        <v>107</v>
      </c>
      <c r="N46" s="246">
        <f>+COUNTIF(A:A,"jueves")</f>
        <v>0</v>
      </c>
      <c r="O46" s="248">
        <f>+SUMIF(A:A,"Jueves",H:H)</f>
        <v>0</v>
      </c>
      <c r="P46" s="87"/>
      <c r="Q46" s="254" t="s">
        <v>81</v>
      </c>
      <c r="R46" s="247">
        <f>+COUNTIFS($J:$J,"estudiante_ucm",$K:$K,"enfermería",$A:$A,"lunes")</f>
        <v>0</v>
      </c>
      <c r="S46" s="248">
        <f>+SUMIFS($H:$H,$J:$J,"estudiante_ucm",$K:$K,"enfermería",$A:$A,"lunes")</f>
        <v>0</v>
      </c>
      <c r="T46" s="247">
        <f>+COUNTIFS($J:$J,"estudiante_ucm",$K:$K,"enfermería",$A:$A,"martes")</f>
        <v>0</v>
      </c>
      <c r="U46" s="248">
        <f>+SUMIFS($H:$H,$J:$J,"estudiante_ucm",$K:$K,"enfermería",$A:$A,"Martes")</f>
        <v>0</v>
      </c>
      <c r="V46" s="247">
        <f>+COUNTIFS($J:$J,"estudiante_ucm",$K:$K,"enfermería",$A:$A,"Miércoles")</f>
        <v>0</v>
      </c>
      <c r="W46" s="248">
        <f>+SUMIFS($H:$H,$J:$J,"estudiante_ucm",$K:$K,"enfermería",$A:$A,"Miércoles")</f>
        <v>0</v>
      </c>
      <c r="X46" s="255">
        <f>+COUNTIFS($J:$J,"estudiante_ucm",$K:$K,"enfermería",$A:$A,"Jueves")</f>
        <v>0</v>
      </c>
      <c r="Y46" s="258">
        <f>+SUMIFS($H:$H,$J:$J,"estudiante_ucm",$K:$K,"enfermería",$A:$A,"Jueves")</f>
        <v>0</v>
      </c>
      <c r="Z46" s="247">
        <f>+COUNTIFS($J:$J,"estudiante_ucm",$K:$K,"enfermería",$A:$A,"viernes")</f>
        <v>0</v>
      </c>
      <c r="AA46" s="248">
        <f>+SUMIFS($H:$H,$J:$J,"estudiante_ucm",$K:$K,"enfermería",$A:$A,"viernes")</f>
        <v>0</v>
      </c>
      <c r="AB46" s="255">
        <f>+COUNTIFS($J:$J,"estudiante_ucm",$K:$K,"enfermería",$A:$A,"Sábado")</f>
        <v>0</v>
      </c>
      <c r="AC46" s="258">
        <f>+SUMIFS($H:$H,$J:$J,"estudiante_ucm",$K:$K,"enfermería",$A:$A,"Sábado")</f>
        <v>0</v>
      </c>
      <c r="AD46" s="257">
        <f t="shared" si="31"/>
        <v>0</v>
      </c>
      <c r="AE46" s="252">
        <f t="shared" si="31"/>
        <v>0</v>
      </c>
      <c r="AF46" s="118"/>
      <c r="AG46" s="254" t="s">
        <v>81</v>
      </c>
      <c r="AH46" s="247">
        <f>+COUNTIFS($J:$J,"egresado_ucm",$K:$K,"enfermería",$A:$A,"lunes")</f>
        <v>0</v>
      </c>
      <c r="AI46" s="248">
        <f>+SUMIFS($H:$H,$J:$J,"egresado_ucm",$K:$K,"enfermería",$A:$A,"lunes")</f>
        <v>0</v>
      </c>
      <c r="AJ46" s="247">
        <f>+COUNTIFS($J:$J,"egresado_ucm",$K:$K,"enfermería",$A:$A,"martes")</f>
        <v>0</v>
      </c>
      <c r="AK46" s="248">
        <f>+SUMIFS($H:$H,$J:$J,"egresado_ucm",$K:$K,"enfermería",$A:$A,"Martes")</f>
        <v>0</v>
      </c>
      <c r="AL46" s="247">
        <f>+COUNTIFS($J:$J,"egresado_ucm",$K:$K,"enfermería",$A:$A,"Miércoles")</f>
        <v>0</v>
      </c>
      <c r="AM46" s="248">
        <f>+SUMIFS($H:$H,$J:$J,"egresado_ucm",$K:$K,"enfermería",$A:$A,"Miércoles")</f>
        <v>0</v>
      </c>
      <c r="AN46" s="255">
        <f>+COUNTIFS($J:$J,"egresado_ucm",$K:$K,"enfermería",$A:$A,"Jueves")</f>
        <v>0</v>
      </c>
      <c r="AO46" s="258">
        <f>+SUMIFS($H:$H,$J:$J,"egresado_ucm",$K:$K,"enfermería",$A:$A,"Jueves")</f>
        <v>0</v>
      </c>
      <c r="AP46" s="247">
        <f>+COUNTIFS($J:$J,"egresado_ucm",$K:$K,"enfermería",$A:$A,"viernes")</f>
        <v>0</v>
      </c>
      <c r="AQ46" s="248">
        <f>+SUMIFS($H:$H,$J:$J,"egresado_ucm",$K:$K,"enfermería",$A:$A,"viernes")</f>
        <v>0</v>
      </c>
      <c r="AR46" s="255">
        <f>+COUNTIFS($J:$J,"egresado_ucm",$K:$K,"enfermería",$A:$A,"Sábado")</f>
        <v>0</v>
      </c>
      <c r="AS46" s="248">
        <f>+SUMIFS($H:$H,$J:$J,"egresado_ucm",$K:$K,"enfermería",$A:$A,"Sábado")</f>
        <v>0</v>
      </c>
      <c r="AT46" s="257">
        <f t="shared" si="32"/>
        <v>0</v>
      </c>
      <c r="AU46" s="252">
        <f t="shared" si="32"/>
        <v>0</v>
      </c>
      <c r="AV46" s="198"/>
      <c r="AW46" s="198"/>
    </row>
    <row r="47" spans="1:49" s="201" customFormat="1" ht="15" x14ac:dyDescent="0.25">
      <c r="A47" s="201" t="str">
        <f t="shared" si="15"/>
        <v>sábado</v>
      </c>
      <c r="B47" s="459"/>
      <c r="C47" s="450"/>
      <c r="D47" s="451"/>
      <c r="E47" s="451"/>
      <c r="F47" s="451"/>
      <c r="G47" s="401"/>
      <c r="H47" s="401"/>
      <c r="I47" s="451"/>
      <c r="J47" s="454"/>
      <c r="K47" s="453"/>
      <c r="L47" s="1"/>
      <c r="M47" s="260" t="s">
        <v>108</v>
      </c>
      <c r="N47" s="246">
        <f>+COUNTIF(A:A,"Viernes")</f>
        <v>0</v>
      </c>
      <c r="O47" s="248">
        <f>+SUMIF(A:A,"Viernes",H:H)</f>
        <v>0</v>
      </c>
      <c r="P47" s="87"/>
      <c r="Q47" s="254" t="s">
        <v>82</v>
      </c>
      <c r="R47" s="247">
        <f>+COUNTIFS($J:$J,"estudiante_ucm",$K:$K,"ing. industrial",$A:$A,"lunes")</f>
        <v>0</v>
      </c>
      <c r="S47" s="248">
        <f>+SUMIFS($H:$H,$J:$J,"estudiante_ucm",$K:$K,"ing. industrial",$A:$A,"lunes")</f>
        <v>0</v>
      </c>
      <c r="T47" s="247">
        <f>+COUNTIFS($J:$J,"estudiante_ucm",$K:$K,"ing. industrial",$A:$A,"martes")</f>
        <v>0</v>
      </c>
      <c r="U47" s="248">
        <f>+SUMIFS($H:$H,$J:$J,"estudiante_ucm",$K:$K,"ing. industrial",$A:$A,"Martes")</f>
        <v>0</v>
      </c>
      <c r="V47" s="247">
        <f>+COUNTIFS($J:$J,"estudiante_ucm",$K:$K,"ing. industrial",$A:$A,"Miércoles")</f>
        <v>0</v>
      </c>
      <c r="W47" s="248">
        <f>+SUMIFS($H:$H,$J:$J,"estudiante_ucm",$K:$K,"ing. industrial",$A:$A,"Miércoles")</f>
        <v>0</v>
      </c>
      <c r="X47" s="255">
        <f>+COUNTIFS($J:$J,"estudiante_ucm",$K:$K,"ing. industrial",$A:$A,"Jueves")</f>
        <v>0</v>
      </c>
      <c r="Y47" s="258">
        <f>+SUMIFS($H:$H,$J:$J,"estudiante_ucm",$K:$K,"ing. industrial",$A:$A,"Jueves")</f>
        <v>0</v>
      </c>
      <c r="Z47" s="247">
        <f>+COUNTIFS($J:$J,"estudiante_ucm",$K:$K,"ing. industrial",$A:$A,"viernes")</f>
        <v>0</v>
      </c>
      <c r="AA47" s="248">
        <f>+SUMIFS($H:$H,$J:$J,"estudiante_ucm",$K:$K,"ing. industrial",$A:$A,"viernes")</f>
        <v>0</v>
      </c>
      <c r="AB47" s="255">
        <f>+COUNTIFS($J:$J,"estudiante_ucm",$K:$K,"ing. industrial",$A:$A,"Sábado")</f>
        <v>0</v>
      </c>
      <c r="AC47" s="258">
        <f>+SUMIFS($H:$H,$J:$J,"estudiante_ucm",$K:$K,"ing. industrial",$A:$A,"Sábado")</f>
        <v>0</v>
      </c>
      <c r="AD47" s="257">
        <f t="shared" si="31"/>
        <v>0</v>
      </c>
      <c r="AE47" s="252">
        <f t="shared" si="31"/>
        <v>0</v>
      </c>
      <c r="AF47" s="118"/>
      <c r="AG47" s="254" t="s">
        <v>82</v>
      </c>
      <c r="AH47" s="247">
        <f>+COUNTIFS($J:$J,"egresado_ucm",$K:$K,"ing. industrial",$A:$A,"lunes")</f>
        <v>0</v>
      </c>
      <c r="AI47" s="248">
        <f>+SUMIFS($H:$H,$J:$J,"egresado_ucm",$K:$K,"ing. industrial",$A:$A,"lunes")</f>
        <v>0</v>
      </c>
      <c r="AJ47" s="247">
        <f>+COUNTIFS($J:$J,"egresado_ucm",$K:$K,"ing. industrial",$A:$A,"martes")</f>
        <v>0</v>
      </c>
      <c r="AK47" s="248">
        <f>+SUMIFS($H:$H,$J:$J,"egresado_ucm",$K:$K,"ing. industrial",$A:$A,"Martes")</f>
        <v>0</v>
      </c>
      <c r="AL47" s="247">
        <f>+COUNTIFS($J:$J,"egresado_ucm",$K:$K,"ing. industrial",$A:$A,"Miércoles")</f>
        <v>0</v>
      </c>
      <c r="AM47" s="248">
        <f>+SUMIFS($H:$H,$J:$J,"egresado_ucm",$K:$K,"ing. industrial",$A:$A,"Miércoles")</f>
        <v>0</v>
      </c>
      <c r="AN47" s="255">
        <f>+COUNTIFS($J:$J,"egresado_ucm",$K:$K,"ing. industrial",$A:$A,"Jueves")</f>
        <v>0</v>
      </c>
      <c r="AO47" s="258">
        <f>+SUMIFS($H:$H,$J:$J,"egresado_ucm",$K:$K,"ing. industrial",$A:$A,"Jueves")</f>
        <v>0</v>
      </c>
      <c r="AP47" s="247">
        <f>+COUNTIFS($J:$J,"egresado_ucm",$K:$K,"ing. industrial",$A:$A,"viernes")</f>
        <v>0</v>
      </c>
      <c r="AQ47" s="248">
        <f>+SUMIFS($H:$H,$J:$J,"egresado_ucm",$K:$K,"ing. industrial",$A:$A,"viernes")</f>
        <v>0</v>
      </c>
      <c r="AR47" s="255">
        <f>+COUNTIFS($J:$J,"egresado_ucm",$K:$K,"ing. industrial",$A:$A,"Sábado")</f>
        <v>0</v>
      </c>
      <c r="AS47" s="248">
        <f>+SUMIFS($H:$H,$J:$J,"egresado_ucm",$K:$K,"ing. industrial",$A:$A,"Sábado")</f>
        <v>0</v>
      </c>
      <c r="AT47" s="257">
        <f t="shared" si="32"/>
        <v>0</v>
      </c>
      <c r="AU47" s="252">
        <f t="shared" si="32"/>
        <v>0</v>
      </c>
      <c r="AV47" s="198"/>
      <c r="AW47" s="198"/>
    </row>
    <row r="48" spans="1:49" s="201" customFormat="1" ht="15.75" thickBot="1" x14ac:dyDescent="0.3">
      <c r="A48" s="201" t="str">
        <f t="shared" si="15"/>
        <v>sábado</v>
      </c>
      <c r="B48" s="459"/>
      <c r="C48" s="450"/>
      <c r="D48" s="451"/>
      <c r="E48" s="451"/>
      <c r="F48" s="451"/>
      <c r="G48" s="451"/>
      <c r="H48" s="451"/>
      <c r="I48" s="507"/>
      <c r="J48" s="454"/>
      <c r="K48" s="422"/>
      <c r="L48" s="1"/>
      <c r="M48" s="274" t="s">
        <v>112</v>
      </c>
      <c r="N48" s="275">
        <f>+COUNTIF(A:A,"Sábado")</f>
        <v>200</v>
      </c>
      <c r="O48" s="273">
        <f>+SUMIF(A:A,"Sábado",H:H)</f>
        <v>0</v>
      </c>
      <c r="P48" s="87"/>
      <c r="Q48" s="254" t="s">
        <v>116</v>
      </c>
      <c r="R48" s="247">
        <f>+COUNTIFS($J:$J,"estudiante_ucm",$K:$K,"ing. ambiental",$A:$A,"lunes")</f>
        <v>0</v>
      </c>
      <c r="S48" s="248">
        <f>+SUMIFS($H:$H,$J:$J,"estudiante_ucm",$K:$K,"ing. ambiental",$A:$A,"lunes")</f>
        <v>0</v>
      </c>
      <c r="T48" s="247">
        <f>+COUNTIFS($J:$J,"estudiante_ucm",$K:$K,"ing. ambiental",$A:$A,"martes")</f>
        <v>0</v>
      </c>
      <c r="U48" s="248">
        <f>+SUMIFS($H:$H,$J:$J,"estudiante_ucm",$K:$K,"ing. ambiental",$A:$A,"Martes")</f>
        <v>0</v>
      </c>
      <c r="V48" s="247">
        <f>+COUNTIFS($J:$J,"estudiante_ucm",$K:$K,"ing. ambiental",$A:$A,"Miércoles")</f>
        <v>0</v>
      </c>
      <c r="W48" s="248">
        <f>+SUMIFS($H:$H,$J:$J,"estudiante_ucm",$K:$K,"ing. ambiental",$A:$A,"Miércoles")</f>
        <v>0</v>
      </c>
      <c r="X48" s="255">
        <f>+COUNTIFS($J:$J,"estudiante_ucm",$K:$K,"ing. ambiental",$A:$A,"Jueves")</f>
        <v>0</v>
      </c>
      <c r="Y48" s="258">
        <f>+SUMIFS($H:$H,$J:$J,"estudiante_ucm",$K:$K,"ing. ambiental",$A:$A,"Jueves")</f>
        <v>0</v>
      </c>
      <c r="Z48" s="247">
        <f>+COUNTIFS($J:$J,"estudiante_ucm",$K:$K,"ing. ambiental",$A:$A,"viernes")</f>
        <v>0</v>
      </c>
      <c r="AA48" s="248">
        <f>+SUMIFS($H:$H,$J:$J,"estudiante_ucm",$K:$K,"ing. ambiental",$A:$A,"viernes")</f>
        <v>0</v>
      </c>
      <c r="AB48" s="255">
        <f>+COUNTIFS($J:$J,"estudiante_ucm",$K:$K,"ing. ambiental",$A:$A,"Sábado")</f>
        <v>0</v>
      </c>
      <c r="AC48" s="258">
        <f>+SUMIFS($H:$H,$J:$J,"estudiante_ucm",$K:$K,"ing. ambiental",$A:$A,"Sábado")</f>
        <v>0</v>
      </c>
      <c r="AD48" s="257">
        <f t="shared" si="31"/>
        <v>0</v>
      </c>
      <c r="AE48" s="252">
        <f t="shared" si="31"/>
        <v>0</v>
      </c>
      <c r="AF48" s="118"/>
      <c r="AG48" s="254" t="s">
        <v>116</v>
      </c>
      <c r="AH48" s="247">
        <f>+COUNTIFS($J:$J,"egresado_ucm",$K:$K,"ing. ambiental",$A:$A,"lunes")</f>
        <v>0</v>
      </c>
      <c r="AI48" s="248">
        <f>+SUMIFS($H:$H,$J:$J,"egresado_ucm",$K:$K,"ing. ambiental",$A:$A,"lunes")</f>
        <v>0</v>
      </c>
      <c r="AJ48" s="247">
        <f>+COUNTIFS($J:$J,"egresado_ucm",$K:$K,"ing. ambiental",$A:$A,"martes")</f>
        <v>0</v>
      </c>
      <c r="AK48" s="248">
        <f>+SUMIFS($H:$H,$J:$J,"egresado_ucm",$K:$K,"ing. ambiental",$A:$A,"Martes")</f>
        <v>0</v>
      </c>
      <c r="AL48" s="247">
        <f>+COUNTIFS($J:$J,"egresado_ucm",$K:$K,"ing. ambiental",$A:$A,"Miércoles")</f>
        <v>0</v>
      </c>
      <c r="AM48" s="248">
        <f>+SUMIFS($H:$H,$J:$J,"egresado_ucm",$K:$K,"ing. ambiental",$A:$A,"Miércoles")</f>
        <v>0</v>
      </c>
      <c r="AN48" s="255">
        <f>+COUNTIFS($J:$J,"egresado_ucm",$K:$K,"ing. ambiental",$A:$A,"Jueves")</f>
        <v>0</v>
      </c>
      <c r="AO48" s="258">
        <f>+SUMIFS($H:$H,$J:$J,"egresado_ucm",$K:$K,"ing. ambiental",$A:$A,"Jueves")</f>
        <v>0</v>
      </c>
      <c r="AP48" s="247">
        <f>+COUNTIFS($J:$J,"egresado_ucm",$K:$K,"ing. ambiental",$A:$A,"viernes")</f>
        <v>0</v>
      </c>
      <c r="AQ48" s="248">
        <f>+SUMIFS($H:$H,$J:$J,"egresado_ucm",$K:$K,"ing. ambiental",$A:$A,"viernes")</f>
        <v>0</v>
      </c>
      <c r="AR48" s="255">
        <f>+COUNTIFS($J:$J,"egresado_ucm",$K:$K,"ing. ambiental",$A:$A,"Sábado")</f>
        <v>0</v>
      </c>
      <c r="AS48" s="248">
        <f>+SUMIFS($H:$H,$J:$J,"egresado_ucm",$K:$K,"ing. ambiental",$A:$A,"Sábado")</f>
        <v>0</v>
      </c>
      <c r="AT48" s="257">
        <f t="shared" si="32"/>
        <v>0</v>
      </c>
      <c r="AU48" s="252">
        <f t="shared" si="32"/>
        <v>0</v>
      </c>
      <c r="AV48" s="198"/>
      <c r="AW48" s="198"/>
    </row>
    <row r="49" spans="1:49" s="43" customFormat="1" ht="15.75" thickBot="1" x14ac:dyDescent="0.3">
      <c r="A49" s="201" t="str">
        <f t="shared" si="15"/>
        <v>sábado</v>
      </c>
      <c r="B49" s="459"/>
      <c r="C49" s="439"/>
      <c r="D49" s="503"/>
      <c r="E49" s="451"/>
      <c r="F49" s="451"/>
      <c r="G49" s="451"/>
      <c r="H49" s="451"/>
      <c r="I49" s="509"/>
      <c r="J49" s="454"/>
      <c r="K49" s="450"/>
      <c r="L49" s="1"/>
      <c r="M49" s="276" t="s">
        <v>9</v>
      </c>
      <c r="N49" s="234">
        <f>SUM(N43:N48)</f>
        <v>200</v>
      </c>
      <c r="O49" s="277">
        <f>SUM(O43:O48)</f>
        <v>0</v>
      </c>
      <c r="P49" s="87"/>
      <c r="Q49" s="254" t="s">
        <v>83</v>
      </c>
      <c r="R49" s="247">
        <f>+COUNTIFS($J:$J,"estudiante_ucm",$K:$K,"ing. telecomunicaciones",$A:$A,"lunes")</f>
        <v>0</v>
      </c>
      <c r="S49" s="248">
        <f>+SUMIFS($H:$H,$J:$J,"estudiante_ucm",$K:$K,"ing. telecomunicaciones",$A:$A,"lunes")</f>
        <v>0</v>
      </c>
      <c r="T49" s="247">
        <f>+COUNTIFS($J:$J,"estudiante_ucm",$K:$K,"ing. telecomunicaciones",$A:$A,"martes")</f>
        <v>0</v>
      </c>
      <c r="U49" s="248">
        <f>+SUMIFS($H:$H,$J:$J,"estudiante_ucm",$K:$K,"ing. telecomunicaciones",$A:$A,"Martes")</f>
        <v>0</v>
      </c>
      <c r="V49" s="247">
        <f>+COUNTIFS($J:$J,"estudiante_ucm",$K:$K,"ing. telecomunicaciones",$A:$A,"Miércoles")</f>
        <v>0</v>
      </c>
      <c r="W49" s="248">
        <f>+SUMIFS($H:$H,$J:$J,"estudiante_ucm",$K:$K,"ing. telecomunicaciones",$A:$A,"Miércoles")</f>
        <v>0</v>
      </c>
      <c r="X49" s="255">
        <f>+COUNTIFS($J:$J,"estudiante_ucm",$K:$K,"ing. telecomunicaciones",$A:$A,"Jueves")</f>
        <v>0</v>
      </c>
      <c r="Y49" s="258">
        <f>+SUMIFS($H:$H,$J:$J,"estudiante_ucm",$K:$K,"ing. telecomunicaciones",$A:$A,"Jueves")</f>
        <v>0</v>
      </c>
      <c r="Z49" s="247">
        <f>+COUNTIFS($J:$J,"estudiante_ucm",$K:$K,"ing. telecomunicaciones",$A:$A,"viernes")</f>
        <v>0</v>
      </c>
      <c r="AA49" s="248">
        <f>+SUMIFS($H:$H,$J:$J,"estudiante_ucm",$K:$K,"ing. telecomunicaciones",$A:$A,"viernes")</f>
        <v>0</v>
      </c>
      <c r="AB49" s="255">
        <f>+COUNTIFS($J:$J,"estudiante_ucm",$K:$K,"ing. telecomunicaciones",$A:$A,"Sábado")</f>
        <v>0</v>
      </c>
      <c r="AC49" s="258">
        <f>+SUMIFS($H:$H,$J:$J,"estudiante_ucm",$K:$K,"ing. telecomunicaciones",$A:$A,"Sábado")</f>
        <v>0</v>
      </c>
      <c r="AD49" s="257">
        <f t="shared" si="31"/>
        <v>0</v>
      </c>
      <c r="AE49" s="252">
        <f t="shared" si="31"/>
        <v>0</v>
      </c>
      <c r="AF49" s="118"/>
      <c r="AG49" s="254" t="s">
        <v>83</v>
      </c>
      <c r="AH49" s="247">
        <f>+COUNTIFS($J:$J,"egresado_ucm",$K:$K,"ing. telecomunicaciones",$A:$A,"lunes")</f>
        <v>0</v>
      </c>
      <c r="AI49" s="248">
        <f>+SUMIFS($H:$H,$J:$J,"egresado_ucm",$K:$K,"ing. telecomunicaciones",$A:$A,"lunes")</f>
        <v>0</v>
      </c>
      <c r="AJ49" s="247">
        <f>+COUNTIFS($J:$J,"egresado_ucm",$K:$K,"ing. telecomunicaciones",$A:$A,"martes")</f>
        <v>0</v>
      </c>
      <c r="AK49" s="248">
        <f>+SUMIFS($H:$H,$J:$J,"egresado_ucm",$K:$K,"ing. telecomunicaciones",$A:$A,"Martes")</f>
        <v>0</v>
      </c>
      <c r="AL49" s="247">
        <f>+COUNTIFS($J:$J,"egresado_ucm",$K:$K,"ing. telecomunicaciones",$A:$A,"Miércoles")</f>
        <v>0</v>
      </c>
      <c r="AM49" s="248">
        <f>+SUMIFS($H:$H,$J:$J,"egresado_ucm",$K:$K,"ing. telecomunicaciones",$A:$A,"Miércoles")</f>
        <v>0</v>
      </c>
      <c r="AN49" s="255">
        <f>+COUNTIFS($J:$J,"egresado_ucm",$K:$K,"ing. telecomunicaciones",$A:$A,"Jueves")</f>
        <v>0</v>
      </c>
      <c r="AO49" s="258">
        <f>+SUMIFS($H:$H,$J:$J,"egresado_ucm",$K:$K,"ing. telecomunicaciones",$A:$A,"Jueves")</f>
        <v>0</v>
      </c>
      <c r="AP49" s="247">
        <f>+COUNTIFS($J:$J,"egresado_ucm",$K:$K,"ing. telecomunicaciones",$A:$A,"viernes")</f>
        <v>0</v>
      </c>
      <c r="AQ49" s="248">
        <f>+SUMIFS($H:$H,$J:$J,"egresado_ucm",$K:$K,"ing. telecomunicaciones",$A:$A,"viernes")</f>
        <v>0</v>
      </c>
      <c r="AR49" s="255">
        <f>+COUNTIFS($J:$J,"egresado_ucm",$K:$K,"ing. telecomunicaciones",$A:$A,"Sábado")</f>
        <v>0</v>
      </c>
      <c r="AS49" s="248">
        <f>+SUMIFS($H:$H,$J:$J,"egresado_ucm",$K:$K,"ing. telecomunicaciones",$A:$A,"Sábado")</f>
        <v>0</v>
      </c>
      <c r="AT49" s="257">
        <f t="shared" si="32"/>
        <v>0</v>
      </c>
      <c r="AU49" s="252">
        <f t="shared" si="32"/>
        <v>0</v>
      </c>
      <c r="AV49" s="198"/>
      <c r="AW49" s="198"/>
    </row>
    <row r="50" spans="1:49" s="201" customFormat="1" ht="15" x14ac:dyDescent="0.25">
      <c r="A50" s="201" t="str">
        <f t="shared" si="15"/>
        <v>sábado</v>
      </c>
      <c r="B50" s="459"/>
      <c r="C50" s="450"/>
      <c r="D50" s="451"/>
      <c r="E50" s="451"/>
      <c r="F50" s="451"/>
      <c r="G50" s="451"/>
      <c r="H50" s="451"/>
      <c r="I50" s="509"/>
      <c r="J50" s="454"/>
      <c r="K50" s="450"/>
      <c r="L50" s="1"/>
      <c r="M50" s="87"/>
      <c r="N50" s="87"/>
      <c r="O50" s="87"/>
      <c r="P50" s="87"/>
      <c r="Q50" s="254" t="s">
        <v>86</v>
      </c>
      <c r="R50" s="247">
        <f>+COUNTIFS($J:$J,"estudiante_ucm",$K:$K,"publicidad",$A:$A,"lunes")</f>
        <v>0</v>
      </c>
      <c r="S50" s="248">
        <f>+SUMIFS($H:$H,$J:$J,"estudiante_ucm",$K:$K,"publicidad",$A:$A,"lunes")</f>
        <v>0</v>
      </c>
      <c r="T50" s="247">
        <f>+COUNTIFS($J:$J,"estudiante_ucm",$K:$K,"publicidad",$A:$A,"martes")</f>
        <v>0</v>
      </c>
      <c r="U50" s="248">
        <f>+SUMIFS($H:$H,$J:$J,"estudiante_ucm",$K:$K,"publicidad",$A:$A,"Martes")</f>
        <v>0</v>
      </c>
      <c r="V50" s="247">
        <f>+COUNTIFS($J:$J,"estudiante_ucm",$K:$K,"publicidad",$A:$A,"Miércoles")</f>
        <v>0</v>
      </c>
      <c r="W50" s="248">
        <f>+SUMIFS($H:$H,$J:$J,"estudiante_ucm",$K:$K,"publicidad",$A:$A,"Miércoles")</f>
        <v>0</v>
      </c>
      <c r="X50" s="255">
        <f>+COUNTIFS($J:$J,"estudiante_ucm",$K:$K,"publicidad",$A:$A,"Jueves")</f>
        <v>0</v>
      </c>
      <c r="Y50" s="258">
        <f>+SUMIFS($H:$H,$J:$J,"estudiante_ucm",$K:$K,"publicidad",$A:$A,"Jueves")</f>
        <v>0</v>
      </c>
      <c r="Z50" s="247">
        <f>+COUNTIFS($J:$J,"estudiante_ucm",$K:$K,"publicidad",$A:$A,"viernes")</f>
        <v>0</v>
      </c>
      <c r="AA50" s="248">
        <f>+SUMIFS($H:$H,$J:$J,"estudiante_ucm",$K:$K,"publicidad",$A:$A,"viernes")</f>
        <v>0</v>
      </c>
      <c r="AB50" s="255">
        <f>+COUNTIFS($J:$J,"estudiante_ucm",$K:$K,"publicidad",$A:$A,"Sábado")</f>
        <v>0</v>
      </c>
      <c r="AC50" s="258">
        <f>+SUMIFS($H:$H,$J:$J,"estudiante_ucm",$K:$K,"publicidad",$A:$A,"Sábado")</f>
        <v>0</v>
      </c>
      <c r="AD50" s="257">
        <f>+R50+T50+V50+X50+Z50+AB50</f>
        <v>0</v>
      </c>
      <c r="AE50" s="252">
        <f t="shared" si="31"/>
        <v>0</v>
      </c>
      <c r="AF50" s="120"/>
      <c r="AG50" s="254" t="s">
        <v>86</v>
      </c>
      <c r="AH50" s="247">
        <f>+COUNTIFS($J:$J,"egresado_ucm",$K:$K,"publicidad",$A:$A,"lunes")</f>
        <v>0</v>
      </c>
      <c r="AI50" s="248">
        <f>+SUMIFS($H:$H,$J:$J,"egresado_ucm",$K:$K,"publicidad",$A:$A,"lunes")</f>
        <v>0</v>
      </c>
      <c r="AJ50" s="247">
        <f>+COUNTIFS($J:$J,"egresado_ucm",$K:$K,"publicidad",$A:$A,"martes")</f>
        <v>0</v>
      </c>
      <c r="AK50" s="248">
        <f>+SUMIFS($H:$H,$J:$J,"egresado_ucm",$K:$K,"publicidad",$A:$A,"Martes")</f>
        <v>0</v>
      </c>
      <c r="AL50" s="247">
        <f>+COUNTIFS($J:$J,"egresado_ucm",$K:$K,"publicidad",$A:$A,"Miércoles")</f>
        <v>0</v>
      </c>
      <c r="AM50" s="248">
        <f>+SUMIFS($H:$H,$J:$J,"egresado_ucm",$K:$K,"publicidad",$A:$A,"Miércoles")</f>
        <v>0</v>
      </c>
      <c r="AN50" s="255">
        <f>+COUNTIFS($J:$J,"egresado_ucm",$K:$K,"publicidad",$A:$A,"Jueves")</f>
        <v>0</v>
      </c>
      <c r="AO50" s="258">
        <f>+SUMIFS($H:$H,$J:$J,"egresado_ucm",$K:$K,"publicidad",$A:$A,"Jueves")</f>
        <v>0</v>
      </c>
      <c r="AP50" s="247">
        <f>+COUNTIFS($J:$J,"egresado_ucm",$K:$K,"publicidad",$A:$A,"viernes")</f>
        <v>0</v>
      </c>
      <c r="AQ50" s="248">
        <f>+SUMIFS($H:$H,$J:$J,"egresado_ucm",$K:$K,"publicidad",$A:$A,"viernes")</f>
        <v>0</v>
      </c>
      <c r="AR50" s="255">
        <f>+COUNTIFS($J:$J,"egresado_ucm",$K:$K,"publicidad",$A:$A,"Sábado")</f>
        <v>0</v>
      </c>
      <c r="AS50" s="248">
        <f>+SUMIFS($H:$H,$J:$J,"egresado_ucm",$K:$K,"publicidad",$A:$A,"Sábado")</f>
        <v>0</v>
      </c>
      <c r="AT50" s="257">
        <f>+AH50+AJ50+AL50+AN50+AP50+AR50</f>
        <v>0</v>
      </c>
      <c r="AU50" s="252">
        <f t="shared" si="32"/>
        <v>0</v>
      </c>
      <c r="AV50" s="198"/>
      <c r="AW50" s="198"/>
    </row>
    <row r="51" spans="1:49" s="201" customFormat="1" ht="15.75" x14ac:dyDescent="0.25">
      <c r="A51" s="201" t="str">
        <f t="shared" si="15"/>
        <v>sábado</v>
      </c>
      <c r="B51" s="459"/>
      <c r="C51" s="105"/>
      <c r="D51" s="102"/>
      <c r="E51" s="102"/>
      <c r="F51" s="102"/>
      <c r="G51" s="102"/>
      <c r="H51" s="102"/>
      <c r="I51" s="102"/>
      <c r="J51" s="422"/>
      <c r="K51" s="38"/>
      <c r="L51" s="1"/>
      <c r="M51" s="87"/>
      <c r="N51" s="87"/>
      <c r="O51" s="87"/>
      <c r="P51" s="87"/>
      <c r="Q51" s="254" t="s">
        <v>118</v>
      </c>
      <c r="R51" s="247">
        <f>+COUNTIFS($J:$J,"estudiante_ucm",$K:$K,"Maestria",$A:$A,"lunes")</f>
        <v>0</v>
      </c>
      <c r="S51" s="248">
        <f>+SUMIFS($H:$H,$J:$J,"estudiante_ucm",$K:$K,"maestria",$A:$A,"lunes")</f>
        <v>0</v>
      </c>
      <c r="T51" s="247">
        <f>+COUNTIFS($J:$J,"estudiante_ucm",$K:$K,"maestria",$A:$A,"martes")</f>
        <v>0</v>
      </c>
      <c r="U51" s="248">
        <f>+SUMIFS($H:$H,$J:$J,"estudiante_ucm",$K:$K,"maestria",$A:$A,"Martes")</f>
        <v>0</v>
      </c>
      <c r="V51" s="247">
        <f>+COUNTIFS($J:$J,"estudiante_ucm",$K:$K,"maestria",$A:$A,"Miércoles")</f>
        <v>0</v>
      </c>
      <c r="W51" s="248">
        <f>+SUMIFS($H:$H,$J:$J,"estudiante_ucm",$K:$K,"maestria",$A:$A,"Miércoles")</f>
        <v>0</v>
      </c>
      <c r="X51" s="255">
        <f>+COUNTIFS($J:$J,"estudiante_ucm",$K:$K,"maestria",$A:$A,"Jueves")</f>
        <v>0</v>
      </c>
      <c r="Y51" s="258">
        <f>+SUMIFS($H:$H,$J:$J,"estudiante_ucm",$K:$K,"maestria",$A:$A,"Jueves")</f>
        <v>0</v>
      </c>
      <c r="Z51" s="247">
        <f>+COUNTIFS($J:$J,"estudiante_ucm",$K:$K,"maestria",$A:$A,"viernes")</f>
        <v>0</v>
      </c>
      <c r="AA51" s="248">
        <f>+SUMIFS($H:$H,$J:$J,"estudiante_ucm",$K:$K,"maestria",$A:$A,"viernes")</f>
        <v>0</v>
      </c>
      <c r="AB51" s="255">
        <f>+COUNTIFS($J:$J,"estudiante_ucm",$K:$K,"maestria",$A:$A,"Sábado")</f>
        <v>0</v>
      </c>
      <c r="AC51" s="258">
        <f>+SUMIFS($H:$H,$J:$J,"estudiante_ucm",$K:$K,"maestria",$A:$A,"Sábado")</f>
        <v>0</v>
      </c>
      <c r="AD51" s="257">
        <f t="shared" si="31"/>
        <v>0</v>
      </c>
      <c r="AE51" s="252">
        <f t="shared" si="31"/>
        <v>0</v>
      </c>
      <c r="AF51" s="120"/>
      <c r="AG51" s="254" t="s">
        <v>118</v>
      </c>
      <c r="AH51" s="247">
        <f>+COUNTIFS($J:$J,"egresado_ucm",$K:$K,"Maestria",$A:$A,"lunes")</f>
        <v>0</v>
      </c>
      <c r="AI51" s="248">
        <f>+SUMIFS($H:$H,$J:$J,"egresado_ucm",$K:$K,"maestria",$A:$A,"lunes")</f>
        <v>0</v>
      </c>
      <c r="AJ51" s="247">
        <f>+COUNTIFS($J:$J,"egresado_ucm",$K:$K,"maestria",$A:$A,"martes")</f>
        <v>0</v>
      </c>
      <c r="AK51" s="248">
        <f>+SUMIFS($H:$H,$J:$J,"egresado_ucm",$K:$K,"maestria",$A:$A,"Martes")</f>
        <v>0</v>
      </c>
      <c r="AL51" s="247">
        <f>+COUNTIFS($J:$J,"egresado_ucm",$K:$K,"maestria",$A:$A,"Miércoles")</f>
        <v>0</v>
      </c>
      <c r="AM51" s="248">
        <f>+SUMIFS($H:$H,$J:$J,"egresado_ucm",$K:$K,"maestria",$A:$A,"Miércoles")</f>
        <v>0</v>
      </c>
      <c r="AN51" s="255">
        <f>+COUNTIFS($J:$J,"egresado_ucm",$K:$K,"maestria",$A:$A,"Jueves")</f>
        <v>0</v>
      </c>
      <c r="AO51" s="258">
        <f>+SUMIFS($H:$H,$J:$J,"egresado_ucm",$K:$K,"maestria",$A:$A,"Jueves")</f>
        <v>0</v>
      </c>
      <c r="AP51" s="247">
        <f>+COUNTIFS($J:$J,"egresado_ucm",$K:$K,"maestria",$A:$A,"viernes")</f>
        <v>0</v>
      </c>
      <c r="AQ51" s="248">
        <f>+SUMIFS($H:$H,$J:$J,"egresado_ucm",$K:$K,"maestria",$A:$A,"viernes")</f>
        <v>0</v>
      </c>
      <c r="AR51" s="255">
        <f>+COUNTIFS($J:$J,"egresado_ucm",$K:$K,"maestria",$A:$A,"Sábado")</f>
        <v>0</v>
      </c>
      <c r="AS51" s="248">
        <f>+SUMIFS($H:$H,$J:$J,"egresado_ucm",$K:$K,"maestria",$A:$A,"Sábado")</f>
        <v>0</v>
      </c>
      <c r="AT51" s="257">
        <f t="shared" ref="AT51:AT52" si="33">+AH51+AJ51+AL51+AN51+AP51+AR51</f>
        <v>0</v>
      </c>
      <c r="AU51" s="252">
        <f t="shared" si="32"/>
        <v>0</v>
      </c>
      <c r="AV51" s="198"/>
      <c r="AW51" s="198"/>
    </row>
    <row r="52" spans="1:49" s="201" customFormat="1" ht="15.75" thickBot="1" x14ac:dyDescent="0.3">
      <c r="A52" s="201" t="str">
        <f t="shared" si="15"/>
        <v>sábado</v>
      </c>
      <c r="B52" s="459"/>
      <c r="C52" s="486"/>
      <c r="D52" s="451"/>
      <c r="E52" s="451"/>
      <c r="F52" s="451"/>
      <c r="G52" s="451"/>
      <c r="H52" s="451"/>
      <c r="I52" s="487"/>
      <c r="J52" s="454"/>
      <c r="K52" s="436"/>
      <c r="L52" s="1"/>
      <c r="M52" s="87"/>
      <c r="N52" s="87"/>
      <c r="O52" s="87"/>
      <c r="P52" s="87"/>
      <c r="Q52" s="282" t="s">
        <v>119</v>
      </c>
      <c r="R52" s="283">
        <f>+COUNTIFS($J:$J,"estudiante_ucm",$K:$K,"Tecnologia",$A:$A,"lunes")</f>
        <v>0</v>
      </c>
      <c r="S52" s="273">
        <f>+SUMIFS($H:$H,$J:$J,"estudiante_ucm",$K:$K,"tecnologia",$A:$A,"lunes")</f>
        <v>0</v>
      </c>
      <c r="T52" s="283">
        <f>+COUNTIFS($J:$J,"estudiante_ucm",$K:$K,"tecnologia",$A:$A,"martes")</f>
        <v>0</v>
      </c>
      <c r="U52" s="273">
        <f>+SUMIFS($H:$H,$J:$J,"estudiante_ucm",$K:$K,"tecnologia",$A:$A,"Martes")</f>
        <v>0</v>
      </c>
      <c r="V52" s="283">
        <f>+COUNTIFS($J:$J,"estudiante_ucm",$K:$K,"tecnologia",$A:$A,"Miércoles")</f>
        <v>0</v>
      </c>
      <c r="W52" s="273">
        <f>+SUMIFS($H:$H,$J:$J,"estudiante_ucm",$K:$K,"tecnologia",$A:$A,"Miércoles")</f>
        <v>0</v>
      </c>
      <c r="X52" s="284">
        <f>+COUNTIFS($J:$J,"estudiante_ucm",$K:$K,"tecnologia",$A:$A,"Jueves")</f>
        <v>0</v>
      </c>
      <c r="Y52" s="285">
        <f>+SUMIFS($H:$H,$J:$J,"estudiante_ucm",$K:$K,"tecnologia",$A:$A,"Jueves")</f>
        <v>0</v>
      </c>
      <c r="Z52" s="283">
        <f>+COUNTIFS($J:$J,"estudiante_ucm",$K:$K,"tecnologia",$A:$A,"viernes")</f>
        <v>0</v>
      </c>
      <c r="AA52" s="273">
        <f>+SUMIFS($H:$H,$J:$J,"estudiante_ucm",$K:$K,"tecnologia",$A:$A,"viernes")</f>
        <v>0</v>
      </c>
      <c r="AB52" s="284">
        <f>+COUNTIFS($J:$J,"estudiante_ucm",$K:$K,"tecnologia",$A:$A,"Sábado")</f>
        <v>0</v>
      </c>
      <c r="AC52" s="285">
        <f>+SUMIFS($H:$H,$J:$J,"estudiante_ucm",$K:$K,"tecnologia",$A:$A,"Sábado")</f>
        <v>0</v>
      </c>
      <c r="AD52" s="278">
        <f t="shared" si="31"/>
        <v>0</v>
      </c>
      <c r="AE52" s="279">
        <f t="shared" si="31"/>
        <v>0</v>
      </c>
      <c r="AF52" s="120"/>
      <c r="AG52" s="282" t="s">
        <v>119</v>
      </c>
      <c r="AH52" s="283">
        <f>+COUNTIFS($J:$J,"egresado_ucm",$K:$K,"Tecnologia",$A:$A,"lunes")</f>
        <v>0</v>
      </c>
      <c r="AI52" s="273">
        <f>+SUMIFS($H:$H,$J:$J,"egresado_ucm",$K:$K,"tecnologia",$A:$A,"lunes")</f>
        <v>0</v>
      </c>
      <c r="AJ52" s="283">
        <f>+COUNTIFS($J:$J,"egresado_ucm",$K:$K,"tecnologia",$A:$A,"martes")</f>
        <v>0</v>
      </c>
      <c r="AK52" s="273">
        <f>+SUMIFS($H:$H,$J:$J,"egresado_ucm",$K:$K,"tecnologia",$A:$A,"Martes")</f>
        <v>0</v>
      </c>
      <c r="AL52" s="283">
        <f>+COUNTIFS($J:$J,"egresado_ucm",$K:$K,"tecnologia",$A:$A,"Miércoles")</f>
        <v>0</v>
      </c>
      <c r="AM52" s="273">
        <f>+SUMIFS($H:$H,$J:$J,"egresado_ucm",$K:$K,"tecnologia",$A:$A,"Miércoles")</f>
        <v>0</v>
      </c>
      <c r="AN52" s="284">
        <f>+COUNTIFS($J:$J,"egresado_ucm",$K:$K,"tecnologia",$A:$A,"Jueves")</f>
        <v>0</v>
      </c>
      <c r="AO52" s="285">
        <f>+SUMIFS($H:$H,$J:$J,"egresado_ucm",$K:$K,"tecnologia",$A:$A,"Jueves")</f>
        <v>0</v>
      </c>
      <c r="AP52" s="283">
        <f>+COUNTIFS($J:$J,"egresado_ucm",$K:$K,"tecnologia",$A:$A,"viernes")</f>
        <v>0</v>
      </c>
      <c r="AQ52" s="273">
        <f>+SUMIFS($H:$H,$J:$J,"egresado_ucm",$K:$K,"tecnologia",$A:$A,"viernes")</f>
        <v>0</v>
      </c>
      <c r="AR52" s="284">
        <f>+COUNTIFS($J:$J,"egresado_ucm",$K:$K,"tecnologia",$A:$A,"Sábado")</f>
        <v>0</v>
      </c>
      <c r="AS52" s="273">
        <f>+SUMIFS($H:$H,$J:$J,"egresado_ucm",$K:$K,"tecnologia",$A:$A,"Sábado")</f>
        <v>0</v>
      </c>
      <c r="AT52" s="278">
        <f t="shared" si="33"/>
        <v>0</v>
      </c>
      <c r="AU52" s="279">
        <f t="shared" si="32"/>
        <v>0</v>
      </c>
      <c r="AV52" s="198"/>
      <c r="AW52" s="198"/>
    </row>
    <row r="53" spans="1:49" s="201" customFormat="1" ht="15.75" thickBot="1" x14ac:dyDescent="0.3">
      <c r="A53" s="201" t="str">
        <f t="shared" si="15"/>
        <v>sábado</v>
      </c>
      <c r="B53" s="512"/>
      <c r="C53" s="513"/>
      <c r="D53" s="511"/>
      <c r="E53" s="451"/>
      <c r="F53" s="451"/>
      <c r="G53" s="401"/>
      <c r="H53" s="401"/>
      <c r="I53" s="511"/>
      <c r="J53" s="454"/>
      <c r="K53" s="436"/>
      <c r="L53" s="1"/>
      <c r="M53" s="87"/>
      <c r="N53" s="87"/>
      <c r="O53" s="87"/>
      <c r="P53" s="87"/>
      <c r="Q53" s="286" t="s">
        <v>9</v>
      </c>
      <c r="R53" s="287">
        <f>SUM(R43:R52)</f>
        <v>0</v>
      </c>
      <c r="S53" s="287">
        <f t="shared" ref="S53:AC53" si="34">SUM(S43:S52)</f>
        <v>0</v>
      </c>
      <c r="T53" s="287">
        <f t="shared" si="34"/>
        <v>0</v>
      </c>
      <c r="U53" s="287">
        <f t="shared" si="34"/>
        <v>0</v>
      </c>
      <c r="V53" s="287">
        <f t="shared" si="34"/>
        <v>0</v>
      </c>
      <c r="W53" s="287">
        <f t="shared" si="34"/>
        <v>0</v>
      </c>
      <c r="X53" s="287">
        <f t="shared" si="34"/>
        <v>0</v>
      </c>
      <c r="Y53" s="287">
        <f t="shared" si="34"/>
        <v>0</v>
      </c>
      <c r="Z53" s="287">
        <f t="shared" si="34"/>
        <v>0</v>
      </c>
      <c r="AA53" s="287">
        <f t="shared" si="34"/>
        <v>0</v>
      </c>
      <c r="AB53" s="287">
        <f t="shared" si="34"/>
        <v>0</v>
      </c>
      <c r="AC53" s="288">
        <f t="shared" si="34"/>
        <v>0</v>
      </c>
      <c r="AD53" s="289">
        <f>SUM(AD43:AD52)</f>
        <v>0</v>
      </c>
      <c r="AE53" s="290">
        <f>SUM(AE43:AE52)</f>
        <v>0</v>
      </c>
      <c r="AF53" s="87"/>
      <c r="AG53" s="292" t="s">
        <v>9</v>
      </c>
      <c r="AH53" s="293">
        <f>SUM(AH43:AH52)</f>
        <v>0</v>
      </c>
      <c r="AI53" s="293">
        <f t="shared" ref="AI53:AS53" si="35">SUM(AI43:AI52)</f>
        <v>0</v>
      </c>
      <c r="AJ53" s="293">
        <f t="shared" si="35"/>
        <v>0</v>
      </c>
      <c r="AK53" s="293">
        <f t="shared" si="35"/>
        <v>0</v>
      </c>
      <c r="AL53" s="293">
        <f t="shared" si="35"/>
        <v>0</v>
      </c>
      <c r="AM53" s="293">
        <f t="shared" si="35"/>
        <v>0</v>
      </c>
      <c r="AN53" s="293">
        <f t="shared" si="35"/>
        <v>0</v>
      </c>
      <c r="AO53" s="293">
        <f t="shared" si="35"/>
        <v>0</v>
      </c>
      <c r="AP53" s="293">
        <f t="shared" si="35"/>
        <v>0</v>
      </c>
      <c r="AQ53" s="293">
        <f t="shared" si="35"/>
        <v>0</v>
      </c>
      <c r="AR53" s="293">
        <f t="shared" si="35"/>
        <v>0</v>
      </c>
      <c r="AS53" s="277">
        <f t="shared" si="35"/>
        <v>0</v>
      </c>
      <c r="AT53" s="291">
        <f>SUM(AT43:AT52)</f>
        <v>0</v>
      </c>
      <c r="AU53" s="290">
        <f>SUM(AU43:AU52)</f>
        <v>0</v>
      </c>
      <c r="AV53" s="198"/>
      <c r="AW53" s="198"/>
    </row>
    <row r="54" spans="1:49" s="201" customFormat="1" ht="15" x14ac:dyDescent="0.25">
      <c r="A54" s="201" t="str">
        <f t="shared" si="15"/>
        <v>sábado</v>
      </c>
      <c r="B54" s="459"/>
      <c r="C54" s="517"/>
      <c r="D54" s="451"/>
      <c r="E54" s="451"/>
      <c r="F54" s="451"/>
      <c r="G54" s="451"/>
      <c r="H54" s="451"/>
      <c r="I54" s="518"/>
      <c r="J54" s="454"/>
      <c r="K54" s="436"/>
      <c r="L54" s="1"/>
      <c r="M54" s="87"/>
      <c r="N54" s="87"/>
      <c r="O54" s="87"/>
      <c r="P54" s="87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198"/>
      <c r="AW54" s="198"/>
    </row>
    <row r="55" spans="1:49" s="201" customFormat="1" ht="15.75" thickBot="1" x14ac:dyDescent="0.3">
      <c r="A55" s="201" t="str">
        <f t="shared" si="15"/>
        <v>sábado</v>
      </c>
      <c r="B55" s="459"/>
      <c r="C55" s="450"/>
      <c r="D55" s="451"/>
      <c r="E55" s="451"/>
      <c r="F55" s="451"/>
      <c r="G55" s="449"/>
      <c r="H55" s="449"/>
      <c r="I55" s="518"/>
      <c r="J55" s="454"/>
      <c r="K55" s="422"/>
      <c r="L55" s="1"/>
      <c r="M55" s="87"/>
      <c r="N55" s="87"/>
      <c r="O55" s="87"/>
      <c r="P55" s="87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198"/>
      <c r="AW55" s="198"/>
    </row>
    <row r="56" spans="1:49" ht="15.75" thickBot="1" x14ac:dyDescent="0.3">
      <c r="A56" s="201" t="str">
        <f t="shared" si="15"/>
        <v>sábado</v>
      </c>
      <c r="B56" s="459"/>
      <c r="C56" s="450"/>
      <c r="D56" s="451"/>
      <c r="E56" s="451"/>
      <c r="F56" s="451"/>
      <c r="G56" s="451"/>
      <c r="H56" s="451"/>
      <c r="I56" s="495"/>
      <c r="J56" s="454"/>
      <c r="K56" s="436"/>
      <c r="L56" s="1"/>
      <c r="M56" s="87"/>
      <c r="N56" s="87"/>
      <c r="O56" s="87"/>
      <c r="P56" s="87"/>
      <c r="Q56" s="650" t="s">
        <v>121</v>
      </c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2"/>
      <c r="AD56" s="118"/>
      <c r="AE56" s="87"/>
      <c r="AF56" s="87"/>
      <c r="AG56" s="118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198"/>
      <c r="AW56" s="198"/>
    </row>
    <row r="57" spans="1:49" s="201" customFormat="1" ht="15.75" thickBot="1" x14ac:dyDescent="0.3">
      <c r="A57" s="201" t="str">
        <f t="shared" si="15"/>
        <v>sábado</v>
      </c>
      <c r="B57" s="460"/>
      <c r="C57" s="450"/>
      <c r="D57" s="518"/>
      <c r="E57" s="451"/>
      <c r="F57" s="451"/>
      <c r="G57" s="451"/>
      <c r="H57" s="451"/>
      <c r="I57" s="518"/>
      <c r="J57" s="454"/>
      <c r="K57" s="439"/>
      <c r="L57" s="1"/>
      <c r="M57" s="87"/>
      <c r="N57" s="87"/>
      <c r="O57" s="87"/>
      <c r="P57" s="87"/>
      <c r="Q57" s="268"/>
      <c r="R57" s="653" t="s">
        <v>105</v>
      </c>
      <c r="S57" s="654"/>
      <c r="T57" s="653" t="s">
        <v>106</v>
      </c>
      <c r="U57" s="654"/>
      <c r="V57" s="653" t="s">
        <v>111</v>
      </c>
      <c r="W57" s="654"/>
      <c r="X57" s="653" t="s">
        <v>107</v>
      </c>
      <c r="Y57" s="654"/>
      <c r="Z57" s="653" t="s">
        <v>108</v>
      </c>
      <c r="AA57" s="654"/>
      <c r="AB57" s="653" t="s">
        <v>112</v>
      </c>
      <c r="AC57" s="654"/>
      <c r="AD57" s="118"/>
      <c r="AE57" s="87"/>
      <c r="AF57" s="87"/>
      <c r="AG57" s="268"/>
      <c r="AH57" s="649" t="s">
        <v>105</v>
      </c>
      <c r="AI57" s="645"/>
      <c r="AJ57" s="645" t="s">
        <v>106</v>
      </c>
      <c r="AK57" s="645"/>
      <c r="AL57" s="645" t="s">
        <v>111</v>
      </c>
      <c r="AM57" s="645"/>
      <c r="AN57" s="645" t="s">
        <v>107</v>
      </c>
      <c r="AO57" s="645"/>
      <c r="AP57" s="645" t="s">
        <v>108</v>
      </c>
      <c r="AQ57" s="645"/>
      <c r="AR57" s="645" t="s">
        <v>112</v>
      </c>
      <c r="AS57" s="646"/>
      <c r="AT57" s="647"/>
      <c r="AU57" s="648"/>
      <c r="AV57" s="198"/>
      <c r="AW57" s="198"/>
    </row>
    <row r="58" spans="1:49" s="201" customFormat="1" ht="15.75" thickBot="1" x14ac:dyDescent="0.3">
      <c r="A58" s="201" t="str">
        <f t="shared" si="15"/>
        <v>sábado</v>
      </c>
      <c r="B58" s="446"/>
      <c r="C58" s="422"/>
      <c r="D58" s="451"/>
      <c r="E58" s="401"/>
      <c r="F58" s="401"/>
      <c r="G58" s="401"/>
      <c r="H58" s="401"/>
      <c r="I58" s="401"/>
      <c r="J58" s="422"/>
      <c r="K58" s="422"/>
      <c r="L58" s="1"/>
      <c r="M58" s="87"/>
      <c r="N58" s="87"/>
      <c r="O58" s="87"/>
      <c r="P58" s="87"/>
      <c r="Q58" s="272" t="s">
        <v>124</v>
      </c>
      <c r="R58" s="266" t="s">
        <v>109</v>
      </c>
      <c r="S58" s="265" t="s">
        <v>117</v>
      </c>
      <c r="T58" s="264" t="s">
        <v>109</v>
      </c>
      <c r="U58" s="265" t="s">
        <v>117</v>
      </c>
      <c r="V58" s="264" t="s">
        <v>109</v>
      </c>
      <c r="W58" s="265" t="s">
        <v>117</v>
      </c>
      <c r="X58" s="266" t="s">
        <v>109</v>
      </c>
      <c r="Y58" s="267" t="s">
        <v>117</v>
      </c>
      <c r="Z58" s="264" t="s">
        <v>109</v>
      </c>
      <c r="AA58" s="265" t="s">
        <v>117</v>
      </c>
      <c r="AB58" s="266" t="s">
        <v>109</v>
      </c>
      <c r="AC58" s="265" t="s">
        <v>117</v>
      </c>
      <c r="AD58" s="280" t="s">
        <v>150</v>
      </c>
      <c r="AE58" s="281" t="s">
        <v>151</v>
      </c>
      <c r="AF58" s="87"/>
      <c r="AG58" s="296"/>
      <c r="AH58" s="301" t="s">
        <v>109</v>
      </c>
      <c r="AI58" s="302" t="s">
        <v>117</v>
      </c>
      <c r="AJ58" s="302" t="s">
        <v>109</v>
      </c>
      <c r="AK58" s="302" t="s">
        <v>117</v>
      </c>
      <c r="AL58" s="302" t="s">
        <v>109</v>
      </c>
      <c r="AM58" s="302" t="s">
        <v>117</v>
      </c>
      <c r="AN58" s="302" t="s">
        <v>109</v>
      </c>
      <c r="AO58" s="302" t="s">
        <v>117</v>
      </c>
      <c r="AP58" s="302" t="s">
        <v>109</v>
      </c>
      <c r="AQ58" s="302" t="s">
        <v>117</v>
      </c>
      <c r="AR58" s="302" t="s">
        <v>109</v>
      </c>
      <c r="AS58" s="303" t="s">
        <v>117</v>
      </c>
      <c r="AT58" s="264" t="s">
        <v>150</v>
      </c>
      <c r="AU58" s="265" t="s">
        <v>151</v>
      </c>
      <c r="AV58" s="198"/>
      <c r="AW58" s="198"/>
    </row>
    <row r="59" spans="1:49" s="43" customFormat="1" ht="15" x14ac:dyDescent="0.25">
      <c r="A59" s="201" t="str">
        <f t="shared" si="15"/>
        <v>sábado</v>
      </c>
      <c r="B59" s="446"/>
      <c r="C59" s="450"/>
      <c r="D59" s="451"/>
      <c r="E59" s="451"/>
      <c r="F59" s="451"/>
      <c r="G59" s="451"/>
      <c r="H59" s="451"/>
      <c r="I59" s="495"/>
      <c r="J59" s="454"/>
      <c r="K59" s="436"/>
      <c r="L59" s="1"/>
      <c r="M59" s="87"/>
      <c r="N59" s="87"/>
      <c r="O59" s="87"/>
      <c r="P59" s="87"/>
      <c r="Q59" s="270" t="s">
        <v>125</v>
      </c>
      <c r="R59" s="255">
        <f>+COUNTIFS($J:$J,"estudiante_externo",$K:$K,"U. Nacional",$A:$A,"lunes")</f>
        <v>0</v>
      </c>
      <c r="S59" s="248">
        <f>+SUMIFS($H:$H,$J:$J,"estudiante_externo",$K:$K,"u. nacional",$A:$A,"lunes")</f>
        <v>0</v>
      </c>
      <c r="T59" s="247">
        <f>+COUNTIFS($J:$J,"estudiante_externo",$K:$K,"U. Nacional",$A:$A,"martes")</f>
        <v>0</v>
      </c>
      <c r="U59" s="248">
        <f>+SUMIFS($H:$H,$J:$J,"estudiante_externo",$K:$K,"u. nacional",$A:$A,"martes")</f>
        <v>0</v>
      </c>
      <c r="V59" s="247">
        <f>+COUNTIFS($J:$J,"estudiante_externo",$K:$K,"U. Nacional",$A:$A,"miércoles")</f>
        <v>0</v>
      </c>
      <c r="W59" s="248">
        <f>+SUMIFS($H:$H,$J:$J,"estudiante_externo",$K:$K,"u. nacional",$A:$A,"miércoles")</f>
        <v>0</v>
      </c>
      <c r="X59" s="247">
        <f>+COUNTIFS($J:$J,"estudiante_externo",$K:$K,"U. Nacional",$A:$A,"jueves")</f>
        <v>0</v>
      </c>
      <c r="Y59" s="248">
        <f>+SUMIFS($H:$H,$J:$J,"estudiante_externo",$K:$K,"u. nacional",$A:$A,"jueves")</f>
        <v>0</v>
      </c>
      <c r="Z59" s="247">
        <f>+COUNTIFS($J:$J,"estudiante_externo",$K:$K,"U. Nacional",$A:$A,"Viernes")</f>
        <v>0</v>
      </c>
      <c r="AA59" s="248">
        <f>+SUMIFS($H:$H,$J:$J,"estudiante_externo",$K:$K,"u. nacional",$A:$A,"Viernes")</f>
        <v>0</v>
      </c>
      <c r="AB59" s="247">
        <f>+COUNTIFS($J:$J,"estudiante_externo",$K:$K,"U. Nacional",$A:$A,"sábado")</f>
        <v>0</v>
      </c>
      <c r="AC59" s="248">
        <f>+SUMIFS($H:$H,$J:$J,"estudiante_externo",$K:$K,"u. nacional",$A:$A,"sábado")</f>
        <v>0</v>
      </c>
      <c r="AD59" s="257">
        <f>+R59+T59+V59+X59+Z59+AB59</f>
        <v>0</v>
      </c>
      <c r="AE59" s="252">
        <f>+S59+U59+W59+Y59+AA59+AC59</f>
        <v>0</v>
      </c>
      <c r="AF59" s="87"/>
      <c r="AG59" s="269" t="s">
        <v>152</v>
      </c>
      <c r="AH59" s="298">
        <f>+COUNTIFS($J:$J,"colaborador",$A:$A,"lunes")</f>
        <v>0</v>
      </c>
      <c r="AI59" s="299">
        <f>+SUMIFS($H:$H,$J:$J,"colaborador",$A:$A,"lunes")</f>
        <v>0</v>
      </c>
      <c r="AJ59" s="299">
        <f>+COUNTIFS($J:$J,"colaborador",$A:$A,"Martes")</f>
        <v>0</v>
      </c>
      <c r="AK59" s="299">
        <f>+SUMIFS($H:$H,$J:$J,"colaborador",$A:$A,"Martes")</f>
        <v>0</v>
      </c>
      <c r="AL59" s="299">
        <f>+COUNTIFS($J:$J,"colaborador",$A:$A,"miércoles")</f>
        <v>0</v>
      </c>
      <c r="AM59" s="299">
        <f>+SUMIFS($H:$H,$J:$J,"colaborador",$A:$A,"miércoles")</f>
        <v>0</v>
      </c>
      <c r="AN59" s="299">
        <f>+COUNTIFS($J:$J,"colaborador",$A:$A,"Jueves")</f>
        <v>0</v>
      </c>
      <c r="AO59" s="299">
        <f>+SUMIFS($H:$H,$J:$J,"colaborador",$A:$A,"Jueves")</f>
        <v>0</v>
      </c>
      <c r="AP59" s="299">
        <f>+COUNTIFS($J:$J,"colaborador",$A:$A,"viernes")</f>
        <v>0</v>
      </c>
      <c r="AQ59" s="299">
        <f>+SUMIFS($H:$H,$J:$J,"colaborador",$A:$A,"viernes")</f>
        <v>0</v>
      </c>
      <c r="AR59" s="299">
        <f>+COUNTIFS($J:$J,"colaborador",$A:$A,"sábado")</f>
        <v>0</v>
      </c>
      <c r="AS59" s="300">
        <f>+SUMIFS($H:$H,$J:$J,"colaborador",$A:$A,"sábado")</f>
        <v>0</v>
      </c>
      <c r="AT59" s="247">
        <f>+AH59+AJ59+AL59+AN59+AP59+AR59</f>
        <v>0</v>
      </c>
      <c r="AU59" s="248">
        <f>+AI59+AK59+AM59+AO59+AQ59+AS59</f>
        <v>0</v>
      </c>
      <c r="AV59" s="198"/>
      <c r="AW59" s="198"/>
    </row>
    <row r="60" spans="1:49" s="43" customFormat="1" ht="15" x14ac:dyDescent="0.25">
      <c r="A60" s="201" t="str">
        <f t="shared" si="15"/>
        <v>sábado</v>
      </c>
      <c r="B60" s="446"/>
      <c r="C60" s="450"/>
      <c r="D60" s="451"/>
      <c r="E60" s="451"/>
      <c r="F60" s="451"/>
      <c r="G60" s="451"/>
      <c r="H60" s="451"/>
      <c r="I60" s="495"/>
      <c r="J60" s="454"/>
      <c r="K60" s="436"/>
      <c r="L60" s="1"/>
      <c r="M60" s="87"/>
      <c r="N60" s="87"/>
      <c r="O60" s="87"/>
      <c r="P60" s="87"/>
      <c r="Q60" s="270" t="s">
        <v>87</v>
      </c>
      <c r="R60" s="255">
        <f>+COUNTIFS($J:$J,"estudiante_externo",$K:$K,"u. manizales",$A:$A,"lunes")</f>
        <v>0</v>
      </c>
      <c r="S60" s="248">
        <f>+SUMIFS($H:$H,$J:$J,"estudiante_externo",$K:$K,"u. manizales",$A:$A,"lunes")</f>
        <v>0</v>
      </c>
      <c r="T60" s="247">
        <f>+COUNTIFS($J:$J,"estudiante_externo",$K:$K,"u. manizales",$A:$A,"martes")</f>
        <v>0</v>
      </c>
      <c r="U60" s="248">
        <f>+SUMIFS($H:$H,$J:$J,"estudiante_externo",$K:$K,"u. manizales",$A:$A,"martes")</f>
        <v>0</v>
      </c>
      <c r="V60" s="247">
        <f>+COUNTIFS($J:$J,"estudiante_externo",$K:$K,"u. manizales",$A:$A,"miércoles")</f>
        <v>0</v>
      </c>
      <c r="W60" s="248">
        <f>+SUMIFS($H:$H,$J:$J,"estudiante_externo",$K:$K,"u. manizales",$A:$A,"miércoles")</f>
        <v>0</v>
      </c>
      <c r="X60" s="247">
        <f>+COUNTIFS($J:$J,"estudiante_externo",$K:$K,"u. manizales",$A:$A,"jueves")</f>
        <v>0</v>
      </c>
      <c r="Y60" s="248">
        <f>+SUMIFS($H:$H,$J:$J,"estudiante_externo",$K:$K,"u. manizales",$A:$A,"jueves")</f>
        <v>0</v>
      </c>
      <c r="Z60" s="247">
        <f>+COUNTIFS($J:$J,"estudiante_externo",$K:$K,"u. manizales",$A:$A,"Viernes")</f>
        <v>0</v>
      </c>
      <c r="AA60" s="248">
        <f>+SUMIFS($H:$H,$J:$J,"estudiante_externo",$K:$K,"u. manizales",$A:$A,"Viernes")</f>
        <v>0</v>
      </c>
      <c r="AB60" s="247">
        <f>+COUNTIFS($J:$J,"estudiante_externo",$K:$K,"u. manizales",$A:$A,"sábado")</f>
        <v>0</v>
      </c>
      <c r="AC60" s="248">
        <f>+SUMIFS($H:$H,$J:$J,"estudiante_externo",$K:$K,"u. manizales",$A:$A,"sábado")</f>
        <v>0</v>
      </c>
      <c r="AD60" s="257">
        <f t="shared" ref="AD60:AE66" si="36">+R60+T60+V60+X60+Z60+AB60</f>
        <v>0</v>
      </c>
      <c r="AE60" s="252">
        <f t="shared" si="36"/>
        <v>0</v>
      </c>
      <c r="AF60" s="87"/>
      <c r="AG60" s="296" t="s">
        <v>153</v>
      </c>
      <c r="AH60" s="255">
        <f>+COUNTIFS($J:$J,"particular",$A:$A,"lunes")</f>
        <v>0</v>
      </c>
      <c r="AI60" s="246">
        <f>+SUMIFS($H:$H,$J:$J,"particular",$A:$A,"lunes")</f>
        <v>0</v>
      </c>
      <c r="AJ60" s="246">
        <f>+COUNTIFS($J:$J,"particular",$A:$A,"Martes")</f>
        <v>0</v>
      </c>
      <c r="AK60" s="246">
        <f>+SUMIFS($H:$H,$J:$J,"particular",$A:$A,"Martes")</f>
        <v>0</v>
      </c>
      <c r="AL60" s="246">
        <f>+COUNTIFS($J:$J,"particular",$A:$A,"miércoles")</f>
        <v>0</v>
      </c>
      <c r="AM60" s="246">
        <f>+SUMIFS($H:$H,$J:$J,"particular",$A:$A,"miércoles")</f>
        <v>0</v>
      </c>
      <c r="AN60" s="246">
        <f>+COUNTIFS($J:$J,"particular",$A:$A,"Jueves")</f>
        <v>0</v>
      </c>
      <c r="AO60" s="246">
        <f>+SUMIFS($H:$H,$J:$J,"particular",$A:$A,"Jueves")</f>
        <v>0</v>
      </c>
      <c r="AP60" s="246">
        <f>+COUNTIFS($J:$J,"particular",$A:$A,"viernes")</f>
        <v>0</v>
      </c>
      <c r="AQ60" s="246">
        <f>+SUMIFS($H:$H,$J:$J,"particular",$A:$A,"viernes")</f>
        <v>0</v>
      </c>
      <c r="AR60" s="246">
        <f>+COUNTIFS($J:$J,"particular",$A:$A,"sábado")</f>
        <v>0</v>
      </c>
      <c r="AS60" s="258">
        <f>+SUMIFS($H:$H,$J:$J,"particular",$A:$A,"sábado")</f>
        <v>0</v>
      </c>
      <c r="AT60" s="247">
        <f t="shared" ref="AT60:AU65" si="37">+AH60+AJ60+AL60+AN60+AP60+AR60</f>
        <v>0</v>
      </c>
      <c r="AU60" s="248">
        <f t="shared" si="37"/>
        <v>0</v>
      </c>
      <c r="AV60" s="198"/>
      <c r="AW60" s="198"/>
    </row>
    <row r="61" spans="1:49" s="201" customFormat="1" ht="15" x14ac:dyDescent="0.25">
      <c r="A61" s="201" t="str">
        <f t="shared" si="15"/>
        <v>sábado</v>
      </c>
      <c r="B61" s="446"/>
      <c r="C61" s="422"/>
      <c r="D61" s="523"/>
      <c r="E61" s="401"/>
      <c r="F61" s="401"/>
      <c r="G61" s="401"/>
      <c r="H61" s="401"/>
      <c r="I61" s="401"/>
      <c r="J61" s="422"/>
      <c r="K61" s="422"/>
      <c r="L61" s="1"/>
      <c r="M61" s="87"/>
      <c r="N61" s="87"/>
      <c r="O61" s="87"/>
      <c r="P61" s="87"/>
      <c r="Q61" s="270" t="s">
        <v>88</v>
      </c>
      <c r="R61" s="255">
        <f>+COUNTIFS($J:$J,"estudiante_externo",$K:$K,"u. caldas",$A:$A,"lunes")</f>
        <v>0</v>
      </c>
      <c r="S61" s="248">
        <f>+SUMIFS($H:$H,$J:$J,"estudiante_externo",$K:$K,"u. caldas",$A:$A,"lunes")</f>
        <v>0</v>
      </c>
      <c r="T61" s="247">
        <f>+COUNTIFS($J:$J,"estudiante_externo",$K:$K,"u. caldas",$A:$A,"martes")</f>
        <v>0</v>
      </c>
      <c r="U61" s="248">
        <f>+SUMIFS($H:$H,$J:$J,"estudiante_externo",$K:$K,"u. caldas",$A:$A,"martes")</f>
        <v>0</v>
      </c>
      <c r="V61" s="247">
        <f>+COUNTIFS($J:$J,"estudiante_externo",$K:$K,"u. caldas",$A:$A,"miércoles")</f>
        <v>0</v>
      </c>
      <c r="W61" s="248">
        <f>+SUMIFS($H:$H,$J:$J,"estudiante_externo",$K:$K,"u. caldas",$A:$A,"miércoles")</f>
        <v>0</v>
      </c>
      <c r="X61" s="247">
        <f>+COUNTIFS($J:$J,"estudiante_externo",$K:$K,"u. caldas",$A:$A,"jueves")</f>
        <v>0</v>
      </c>
      <c r="Y61" s="248">
        <f>+SUMIFS($H:$H,$J:$J,"estudiante_externo",$K:$K,"u. caldas",$A:$A,"jueves")</f>
        <v>0</v>
      </c>
      <c r="Z61" s="247">
        <f>+COUNTIFS($J:$J,"estudiante_externo",$K:$K,"u. caldas",$A:$A,"Viernes")</f>
        <v>0</v>
      </c>
      <c r="AA61" s="248">
        <f>+SUMIFS($H:$H,$J:$J,"estudiante_externo",$K:$K,"u. caldas",$A:$A,"Viernes")</f>
        <v>0</v>
      </c>
      <c r="AB61" s="247">
        <f>+COUNTIFS($J:$J,"estudiante_externo",$K:$K,"u. caldas",$A:$A,"sábado")</f>
        <v>0</v>
      </c>
      <c r="AC61" s="248">
        <f>+SUMIFS($H:$H,$J:$J,"estudiante_externo",$K:$K,"u. caldas",$A:$A,"sábado")</f>
        <v>0</v>
      </c>
      <c r="AD61" s="257">
        <f>+R61+T61+V61+X61+Z61+AB61</f>
        <v>0</v>
      </c>
      <c r="AE61" s="252">
        <f t="shared" si="36"/>
        <v>0</v>
      </c>
      <c r="AF61" s="87"/>
      <c r="AG61" s="296" t="s">
        <v>154</v>
      </c>
      <c r="AH61" s="255">
        <f>+COUNTIFS($J:$J,"ucm",$A:$A,"lunes")</f>
        <v>0</v>
      </c>
      <c r="AI61" s="246">
        <f>+SUMIFS($H:$H,$J:$J,"ucm",$A:$A,"lunes")</f>
        <v>0</v>
      </c>
      <c r="AJ61" s="246">
        <f>+COUNTIFS($J:$J,"ucm",$A:$A,"Martes")</f>
        <v>0</v>
      </c>
      <c r="AK61" s="246">
        <f>+SUMIFS($H:$H,$J:$J,"ucm",$A:$A,"Martes")</f>
        <v>0</v>
      </c>
      <c r="AL61" s="246">
        <f>+COUNTIFS($J:$J,"ucm",$A:$A,"miércoles")</f>
        <v>0</v>
      </c>
      <c r="AM61" s="246">
        <f>+SUMIFS($H:$H,$J:$J,"ucm",$A:$A,"miércoles")</f>
        <v>0</v>
      </c>
      <c r="AN61" s="246">
        <f>+COUNTIFS($J:$J,"ucm",$A:$A,"Jueves")</f>
        <v>0</v>
      </c>
      <c r="AO61" s="246">
        <f>+SUMIFS($H:$H,$J:$J,"ucm",$A:$A,"Jueves")</f>
        <v>0</v>
      </c>
      <c r="AP61" s="246">
        <f>+COUNTIFS($J:$J,"ucm",$A:$A,"viernes")</f>
        <v>0</v>
      </c>
      <c r="AQ61" s="246">
        <f>+SUMIFS($H:$H,$J:$J,"ucm",$A:$A,"viernes")</f>
        <v>0</v>
      </c>
      <c r="AR61" s="246">
        <f>+COUNTIFS($J:$J,"ucm",$A:$A,"sábado")</f>
        <v>0</v>
      </c>
      <c r="AS61" s="258">
        <f>+SUMIFS($H:$H,$J:$J,"ucm",$A:$A,"sábado")</f>
        <v>0</v>
      </c>
      <c r="AT61" s="247">
        <f t="shared" si="37"/>
        <v>0</v>
      </c>
      <c r="AU61" s="248">
        <f t="shared" si="37"/>
        <v>0</v>
      </c>
      <c r="AV61" s="198"/>
      <c r="AW61" s="198"/>
    </row>
    <row r="62" spans="1:49" s="201" customFormat="1" ht="15" x14ac:dyDescent="0.25">
      <c r="A62" s="201" t="str">
        <f t="shared" si="15"/>
        <v>sábado</v>
      </c>
      <c r="B62" s="446"/>
      <c r="C62" s="422"/>
      <c r="D62" s="523"/>
      <c r="E62" s="401"/>
      <c r="F62" s="401"/>
      <c r="G62" s="401"/>
      <c r="H62" s="401"/>
      <c r="I62" s="401"/>
      <c r="J62" s="422"/>
      <c r="K62" s="422"/>
      <c r="L62" s="1"/>
      <c r="M62" s="87"/>
      <c r="N62" s="87"/>
      <c r="O62" s="87"/>
      <c r="P62" s="87"/>
      <c r="Q62" s="270" t="s">
        <v>89</v>
      </c>
      <c r="R62" s="255">
        <f>+COUNTIFS($J:$J,"estudiante_externo",$K:$K,"u. autonoma",$A:$A,"lunes")</f>
        <v>0</v>
      </c>
      <c r="S62" s="248">
        <f>+SUMIFS($H:$H,$J:$J,"estudiante_externo",$K:$K,"u. autonoma",$A:$A,"lunes")</f>
        <v>0</v>
      </c>
      <c r="T62" s="247">
        <f>+COUNTIFS($J:$J,"estudiante_externo",$K:$K,"u. autonoma",$A:$A,"martes")</f>
        <v>0</v>
      </c>
      <c r="U62" s="248">
        <f>+SUMIFS($H:$H,$J:$J,"estudiante_externo",$K:$K,"u. autonoma",$A:$A,"martes")</f>
        <v>0</v>
      </c>
      <c r="V62" s="247">
        <f>+COUNTIFS($J:$J,"estudiante_externo",$K:$K,"u. autonoma",$A:$A,"miércoles")</f>
        <v>0</v>
      </c>
      <c r="W62" s="248">
        <f>+SUMIFS($H:$H,$J:$J,"estudiante_externo",$K:$K,"u. autonoma",$A:$A,"miércoles")</f>
        <v>0</v>
      </c>
      <c r="X62" s="247">
        <f>+COUNTIFS($J:$J,"estudiante_externo",$K:$K,"u. autonoma",$A:$A,"jueves")</f>
        <v>0</v>
      </c>
      <c r="Y62" s="248">
        <f>+SUMIFS($H:$H,$J:$J,"estudiante_externo",$K:$K,"u. autonoma",$A:$A,"jueves")</f>
        <v>0</v>
      </c>
      <c r="Z62" s="247">
        <f>+COUNTIFS($J:$J,"estudiante_externo",$K:$K,"u. autonoma",$A:$A,"Viernes")</f>
        <v>0</v>
      </c>
      <c r="AA62" s="248">
        <f>+SUMIFS($H:$H,$J:$J,"estudiante_externo",$K:$K,"u. autonoma",$A:$A,"Viernes")</f>
        <v>0</v>
      </c>
      <c r="AB62" s="247">
        <f>+COUNTIFS($J:$J,"estudiante_externo",$K:$K,"u. autonoma",$A:$A,"sábado")</f>
        <v>0</v>
      </c>
      <c r="AC62" s="248">
        <f>+SUMIFS($H:$H,$J:$J,"estudiante_externo",$K:$K,"u. autonoma",$A:$A,"sábado")</f>
        <v>0</v>
      </c>
      <c r="AD62" s="257">
        <f t="shared" si="36"/>
        <v>0</v>
      </c>
      <c r="AE62" s="252">
        <f t="shared" si="36"/>
        <v>0</v>
      </c>
      <c r="AF62" s="87"/>
      <c r="AG62" s="296" t="s">
        <v>155</v>
      </c>
      <c r="AH62" s="255">
        <f>+COUNTIFS($J:$J,"convenio",$A:$A,"lunes")</f>
        <v>0</v>
      </c>
      <c r="AI62" s="246">
        <f>+SUMIFS($H:$H,$J:$J,"convenio",$A:$A,"lunes")</f>
        <v>0</v>
      </c>
      <c r="AJ62" s="246">
        <f>+COUNTIFS($J:$J,"convenio",$A:$A,"Martes")</f>
        <v>0</v>
      </c>
      <c r="AK62" s="246">
        <f>+SUMIFS($H:$H,$J:$J,"convenio",$A:$A,"Martes")</f>
        <v>0</v>
      </c>
      <c r="AL62" s="246">
        <f>+COUNTIFS($J:$J,"convenio",$A:$A,"miércoles")</f>
        <v>0</v>
      </c>
      <c r="AM62" s="246">
        <f>+SUMIFS($H:$H,$J:$J,"convenio",$A:$A,"miércoles")</f>
        <v>0</v>
      </c>
      <c r="AN62" s="246">
        <f>+COUNTIFS($J:$J,"convenio",$A:$A,"Jueves")</f>
        <v>0</v>
      </c>
      <c r="AO62" s="246">
        <f>+SUMIFS($H:$H,$J:$J,"convenio",$A:$A,"Jueves")</f>
        <v>0</v>
      </c>
      <c r="AP62" s="246">
        <f>+COUNTIFS($J:$J,"convenio",$A:$A,"viernes")</f>
        <v>0</v>
      </c>
      <c r="AQ62" s="246">
        <f>+SUMIFS($H:$H,$J:$J,"convenio",$A:$A,"viernes")</f>
        <v>0</v>
      </c>
      <c r="AR62" s="246">
        <f>+COUNTIFS($J:$J,"convenio",$A:$A,"sábado")</f>
        <v>0</v>
      </c>
      <c r="AS62" s="258">
        <f>+SUMIFS($H:$H,$J:$J,"convenio",$A:$A,"sábado")</f>
        <v>0</v>
      </c>
      <c r="AT62" s="247">
        <f t="shared" si="37"/>
        <v>0</v>
      </c>
      <c r="AU62" s="248">
        <f t="shared" si="37"/>
        <v>0</v>
      </c>
      <c r="AV62" s="198"/>
      <c r="AW62" s="198"/>
    </row>
    <row r="63" spans="1:49" ht="15" x14ac:dyDescent="0.25">
      <c r="A63" s="201" t="str">
        <f t="shared" si="15"/>
        <v>sábado</v>
      </c>
      <c r="B63" s="446"/>
      <c r="C63" s="436"/>
      <c r="D63" s="401"/>
      <c r="E63" s="401"/>
      <c r="F63" s="401"/>
      <c r="G63" s="401"/>
      <c r="H63" s="401"/>
      <c r="I63" s="401"/>
      <c r="J63" s="436"/>
      <c r="K63" s="436"/>
      <c r="L63" s="1"/>
      <c r="M63" s="87"/>
      <c r="N63" s="87"/>
      <c r="O63" s="87"/>
      <c r="P63" s="87"/>
      <c r="Q63" s="270" t="s">
        <v>90</v>
      </c>
      <c r="R63" s="255">
        <f>+COUNTIFS($J:$J,"estudiante_externo",$K:$K,"u. remington",$A:$A,"lunes")</f>
        <v>0</v>
      </c>
      <c r="S63" s="248">
        <f>+SUMIFS($H:$H,$J:$J,"estudiante_externo",$K:$K,"u. remington",$A:$A,"lunes")</f>
        <v>0</v>
      </c>
      <c r="T63" s="247">
        <f>+COUNTIFS($J:$J,"estudiante_externo",$K:$K,"u. remington",$A:$A,"martes")</f>
        <v>0</v>
      </c>
      <c r="U63" s="248">
        <f>+SUMIFS($H:$H,$J:$J,"estudiante_externo",$K:$K,"u. remington",$A:$A,"martes")</f>
        <v>0</v>
      </c>
      <c r="V63" s="247">
        <f>+COUNTIFS($J:$J,"estudiante_externo",$K:$K,"u. remington",$A:$A,"miércoles")</f>
        <v>0</v>
      </c>
      <c r="W63" s="248">
        <f>+SUMIFS($H:$H,$J:$J,"estudiante_externo",$K:$K,"u. remington",$A:$A,"miércoles")</f>
        <v>0</v>
      </c>
      <c r="X63" s="247">
        <f>+COUNTIFS($J:$J,"estudiante_externo",$K:$K,"u. remington",$A:$A,"jueves")</f>
        <v>0</v>
      </c>
      <c r="Y63" s="248">
        <f>+SUMIFS($H:$H,$J:$J,"estudiante_externo",$K:$K,"u. remington",$A:$A,"jueves")</f>
        <v>0</v>
      </c>
      <c r="Z63" s="247">
        <f>+COUNTIFS($J:$J,"estudiante_externo",$K:$K,"u. remington",$A:$A,"Viernes")</f>
        <v>0</v>
      </c>
      <c r="AA63" s="248">
        <f>+SUMIFS($H:$H,$J:$J,"estudiante_externo",$K:$K,"u. remington",$A:$A,"Viernes")</f>
        <v>0</v>
      </c>
      <c r="AB63" s="247">
        <f>+COUNTIFS($J:$J,"estudiante_externo",$K:$K,"u. remington",$A:$A,"sábado")</f>
        <v>0</v>
      </c>
      <c r="AC63" s="248">
        <f>+SUMIFS($H:$H,$J:$J,"estudiante_externo",$K:$K,"u. remington",$A:$A,"sábado")</f>
        <v>0</v>
      </c>
      <c r="AD63" s="257">
        <f t="shared" si="36"/>
        <v>0</v>
      </c>
      <c r="AE63" s="252">
        <f t="shared" si="36"/>
        <v>0</v>
      </c>
      <c r="AF63" s="87"/>
      <c r="AG63" s="296" t="s">
        <v>156</v>
      </c>
      <c r="AH63" s="255">
        <f>+COUNTIFS($J:$J,"torneo",$A:$A,"lunes")</f>
        <v>0</v>
      </c>
      <c r="AI63" s="246">
        <f>+SUMIFS($H:$H,$J:$J,"torneo",$A:$A,"lunes")</f>
        <v>0</v>
      </c>
      <c r="AJ63" s="246">
        <f>+COUNTIFS($J:$J,"torneo",$A:$A,"martes")</f>
        <v>0</v>
      </c>
      <c r="AK63" s="246">
        <f>+SUMIFS($H:$H,$J:$J,"torneo",$A:$A,"Martes")</f>
        <v>0</v>
      </c>
      <c r="AL63" s="246">
        <f>+COUNTIFS($J:$J,"torneo",$A:$A,"miércoles")</f>
        <v>0</v>
      </c>
      <c r="AM63" s="246">
        <f>+SUMIFS($H:$H,$J:$J,"torneo",$A:$A,"miércoles")</f>
        <v>0</v>
      </c>
      <c r="AN63" s="246">
        <f>+COUNTIFS($J:$J,"torneo",$A:$A,"Jueves")</f>
        <v>0</v>
      </c>
      <c r="AO63" s="246">
        <f>+SUMIFS($H:$H,$J:$J,"torneo",$A:$A,"Jueves")</f>
        <v>0</v>
      </c>
      <c r="AP63" s="246">
        <f>+COUNTIFS($J:$J,"torneo",$A:$A,"viernes")</f>
        <v>0</v>
      </c>
      <c r="AQ63" s="246">
        <f>+COUNTIFS($J:$J,"torneo",$A:$A,"viernes")</f>
        <v>0</v>
      </c>
      <c r="AR63" s="246">
        <f>+COUNTIFS($J:$J,"torneo",$A:$A,"Sábado")</f>
        <v>0</v>
      </c>
      <c r="AS63" s="258">
        <f>+SUMIFS($H:$H,$J:$J,"torneo",$A:$A,"sábado")</f>
        <v>0</v>
      </c>
      <c r="AT63" s="247">
        <f t="shared" si="37"/>
        <v>0</v>
      </c>
      <c r="AU63" s="248">
        <f t="shared" si="37"/>
        <v>0</v>
      </c>
      <c r="AV63" s="198"/>
      <c r="AW63" s="198"/>
    </row>
    <row r="64" spans="1:49" s="203" customFormat="1" ht="15" x14ac:dyDescent="0.25">
      <c r="A64" s="201" t="str">
        <f t="shared" si="15"/>
        <v>sábado</v>
      </c>
      <c r="B64" s="446"/>
      <c r="C64" s="439"/>
      <c r="D64" s="451"/>
      <c r="E64" s="451"/>
      <c r="F64" s="451"/>
      <c r="G64" s="451"/>
      <c r="H64" s="451"/>
      <c r="I64" s="451"/>
      <c r="J64" s="454"/>
      <c r="K64" s="436"/>
      <c r="L64" s="1"/>
      <c r="M64" s="87"/>
      <c r="N64" s="87"/>
      <c r="O64" s="87"/>
      <c r="P64" s="87"/>
      <c r="Q64" s="270" t="s">
        <v>91</v>
      </c>
      <c r="R64" s="255">
        <f>+COUNTIFS($J:$J,"estudiante_externo",$K:$K,"u. luis amigó",$A:$A,"lunes")</f>
        <v>0</v>
      </c>
      <c r="S64" s="248">
        <f>+SUMIFS($H:$H,$J:$J,"estudiante_externo",$K:$K,"u. luis amigó",$A:$A,"lunes")</f>
        <v>0</v>
      </c>
      <c r="T64" s="247">
        <f>+COUNTIFS($J:$J,"estudiante_externo",$K:$K,"u. luis amigó",$A:$A,"martes")</f>
        <v>0</v>
      </c>
      <c r="U64" s="248">
        <f>+SUMIFS($H:$H,$J:$J,"estudiante_externo",$K:$K,"u. luis amigó",$A:$A,"martes")</f>
        <v>0</v>
      </c>
      <c r="V64" s="247">
        <f>+COUNTIFS($J:$J,"estudiante_externo",$K:$K,"u. luis amigó",$A:$A,"miércoles")</f>
        <v>0</v>
      </c>
      <c r="W64" s="248">
        <f>+SUMIFS($H:$H,$J:$J,"estudiante_externo",$K:$K,"u. luis amigó",$A:$A,"miércoles")</f>
        <v>0</v>
      </c>
      <c r="X64" s="247">
        <f>+COUNTIFS($J:$J,"estudiante_externo",$K:$K,"u. luis amigó",$A:$A,"jueves")</f>
        <v>0</v>
      </c>
      <c r="Y64" s="248">
        <f>+SUMIFS($H:$H,$J:$J,"estudiante_externo",$K:$K,"u. luis amigó",$A:$A,"jueves")</f>
        <v>0</v>
      </c>
      <c r="Z64" s="247">
        <f>+COUNTIFS($J:$J,"estudiante_externo",$K:$K,"u. luis amigó",$A:$A,"Viernes")</f>
        <v>0</v>
      </c>
      <c r="AA64" s="248">
        <f>+SUMIFS($H:$H,$J:$J,"estudiante_externo",$K:$K,"u. luis amigó",$A:$A,"Viernes")</f>
        <v>0</v>
      </c>
      <c r="AB64" s="247">
        <f>+COUNTIFS($J:$J,"estudiante_externo",$K:$K,"u. luis amigó",$A:$A,"sábado")</f>
        <v>0</v>
      </c>
      <c r="AC64" s="248">
        <f>+SUMIFS($H:$H,$J:$J,"estudiante_externo",$K:$K,"u. luis amigó",$A:$A,"sábado")</f>
        <v>0</v>
      </c>
      <c r="AD64" s="257">
        <f t="shared" si="36"/>
        <v>0</v>
      </c>
      <c r="AE64" s="252">
        <f t="shared" si="36"/>
        <v>0</v>
      </c>
      <c r="AF64" s="87"/>
      <c r="AG64" s="296" t="s">
        <v>157</v>
      </c>
      <c r="AH64" s="255">
        <f>+COUNTIFS($J:$J,"pase de cortesia",$A:$A,"lunes")</f>
        <v>0</v>
      </c>
      <c r="AI64" s="246">
        <f>+SUMIFS($H:$H,$J:$J,"pase de cortesia",$A:$A,"lunes")</f>
        <v>0</v>
      </c>
      <c r="AJ64" s="246">
        <f>+COUNTIFS($J:$J,"pase de cortesia",$A:$A,"Martes")</f>
        <v>0</v>
      </c>
      <c r="AK64" s="246">
        <f>+SUMIFS($H:$H,$J:$J,"pase de cortesia",$A:$A,"Martes")</f>
        <v>0</v>
      </c>
      <c r="AL64" s="246">
        <f>+COUNTIFS($J:$J,"pase de cortesia",$A:$A,"miércoles")</f>
        <v>0</v>
      </c>
      <c r="AM64" s="246">
        <f>+SUMIFS($H:$H,$J:$J,"pase de cortesia",$A:$A,"miércoles")</f>
        <v>0</v>
      </c>
      <c r="AN64" s="246">
        <f>+COUNTIFS($J:$J,"pase de cortesia",$A:$A,"Jueves")</f>
        <v>0</v>
      </c>
      <c r="AO64" s="246">
        <f>+SUMIFS($H:$H,$J:$J,"pase de cortesia",$A:$A,"Jueves")</f>
        <v>0</v>
      </c>
      <c r="AP64" s="246">
        <f>+COUNTIFS($J:$J,"pase de cortesia",$A:$A,"viernes")</f>
        <v>0</v>
      </c>
      <c r="AQ64" s="246">
        <f>+SUMIFS($H:$H,$J:$J,"pase de cortesia",$A:$A,"viernes")</f>
        <v>0</v>
      </c>
      <c r="AR64" s="246">
        <f>+COUNTIFS($J:$J,"pase de cortesia",$A:$A,"sábado")</f>
        <v>0</v>
      </c>
      <c r="AS64" s="258">
        <f>+SUMIFS($H:$H,$J:$J,"pase de cortesia",$A:$A,"sábado")</f>
        <v>0</v>
      </c>
      <c r="AT64" s="247">
        <f>+AH64+AJ64+AL64+AN64+AP64+AR64</f>
        <v>0</v>
      </c>
      <c r="AU64" s="248">
        <f t="shared" si="37"/>
        <v>0</v>
      </c>
      <c r="AV64" s="198"/>
      <c r="AW64" s="198"/>
    </row>
    <row r="65" spans="1:49" s="201" customFormat="1" ht="15.75" thickBot="1" x14ac:dyDescent="0.3">
      <c r="A65" s="201" t="str">
        <f t="shared" si="15"/>
        <v>sábado</v>
      </c>
      <c r="B65" s="446"/>
      <c r="C65" s="450"/>
      <c r="D65" s="451"/>
      <c r="E65" s="451"/>
      <c r="F65" s="451"/>
      <c r="G65" s="451"/>
      <c r="H65" s="451"/>
      <c r="I65" s="451"/>
      <c r="J65" s="454"/>
      <c r="K65" s="422"/>
      <c r="L65" s="1"/>
      <c r="M65" s="87"/>
      <c r="N65" s="87"/>
      <c r="O65" s="87"/>
      <c r="P65" s="87"/>
      <c r="Q65" s="270" t="s">
        <v>122</v>
      </c>
      <c r="R65" s="255">
        <f>+COUNTIFS($J:$J,"estudiante_externo",$K:$K,"colegio",$A:$A,"lunes")</f>
        <v>0</v>
      </c>
      <c r="S65" s="248">
        <f>+SUMIFS($H:$H,$J:$J,"estudiante_externo",$K:$K,"colegio",$A:$A,"lunes")</f>
        <v>0</v>
      </c>
      <c r="T65" s="247">
        <f>+COUNTIFS($J:$J,"estudiante_externo",$K:$K,"colegio",$A:$A,"martes")</f>
        <v>0</v>
      </c>
      <c r="U65" s="248">
        <f>+SUMIFS($H:$H,$J:$J,"estudiante_externo",$K:$K,"colegio",$A:$A,"martes")</f>
        <v>0</v>
      </c>
      <c r="V65" s="247">
        <f>+COUNTIFS($J:$J,"estudiante_externo",$K:$K,"colegio",$A:$A,"miércoles")</f>
        <v>0</v>
      </c>
      <c r="W65" s="248">
        <f>+SUMIFS($H:$H,$J:$J,"estudiante_externo",$K:$K,"colegio",$A:$A,"miércoles")</f>
        <v>0</v>
      </c>
      <c r="X65" s="247">
        <f>+COUNTIFS($J:$J,"estudiante_externo",$K:$K,"colegio",$A:$A,"jueves")</f>
        <v>0</v>
      </c>
      <c r="Y65" s="248">
        <f>+SUMIFS($H:$H,$J:$J,"estudiante_externo",$K:$K,"colegio",$A:$A,"jueves")</f>
        <v>0</v>
      </c>
      <c r="Z65" s="247">
        <f>+COUNTIFS($J:$J,"estudiante_externo",$K:$K,"colegio",$A:$A,"Viernes")</f>
        <v>0</v>
      </c>
      <c r="AA65" s="248">
        <f>+SUMIFS($H:$H,$J:$J,"estudiante_externo",$K:$K,"colegio",$A:$A,"Viernes")</f>
        <v>0</v>
      </c>
      <c r="AB65" s="247">
        <f>+COUNTIFS($J:$J,"estudiante_externo",$K:$K,"colegio",$A:$A,"sábado")</f>
        <v>0</v>
      </c>
      <c r="AC65" s="248">
        <f>+SUMIFS($H:$H,$J:$J,"estudiante_externo",$K:$K,"colegio",$A:$A,"sábado")</f>
        <v>0</v>
      </c>
      <c r="AD65" s="257">
        <f t="shared" si="36"/>
        <v>0</v>
      </c>
      <c r="AE65" s="252">
        <f t="shared" si="36"/>
        <v>0</v>
      </c>
      <c r="AF65" s="87"/>
      <c r="AG65" s="297" t="s">
        <v>158</v>
      </c>
      <c r="AH65" s="256">
        <f>+COUNTIFS($J:$J,"contrato",$A:$A,"lunes")</f>
        <v>0</v>
      </c>
      <c r="AI65" s="250">
        <f>+SUMIFS($H:$H,$J:$J,"contrato",$A:$A,"lunes")</f>
        <v>0</v>
      </c>
      <c r="AJ65" s="250">
        <f>+COUNTIFS($J:$J,"contrato",$A:$A,"Martes")</f>
        <v>0</v>
      </c>
      <c r="AK65" s="250">
        <f>+SUMIFS($H:$H,$J:$J,"contrato",$A:$A,"Martes")</f>
        <v>0</v>
      </c>
      <c r="AL65" s="250">
        <f>+COUNTIFS($J:$J,"contrato",$A:$A,"miércoles")</f>
        <v>0</v>
      </c>
      <c r="AM65" s="250">
        <f>+SUMIFS($H:$H,$J:$J,"contrato",$A:$A,"miércoles")</f>
        <v>0</v>
      </c>
      <c r="AN65" s="250">
        <f>+COUNTIFS($J:$J,"contrato",$A:$A,"Jueves")</f>
        <v>0</v>
      </c>
      <c r="AO65" s="250">
        <f>+SUMIFS($H:$H,$J:$J,"contrato",$A:$A,"Jueves")</f>
        <v>0</v>
      </c>
      <c r="AP65" s="250">
        <f>+COUNTIFS($J:$J,"contrato",$A:$A,"viernes")</f>
        <v>0</v>
      </c>
      <c r="AQ65" s="250">
        <f>+SUMIFS($H:$H,$J:$J,"contrato",$A:$A,"viernes")</f>
        <v>0</v>
      </c>
      <c r="AR65" s="250">
        <f>+COUNTIFS($J:$J,"contrato",$A:$A,"sábado")</f>
        <v>0</v>
      </c>
      <c r="AS65" s="259">
        <f>+SUMIFS($H:$H,$J:$J,"contrato",$A:$A,"sábado")</f>
        <v>0</v>
      </c>
      <c r="AT65" s="249">
        <f>+AH65+AJ65+AL65+AN65+AP65+AR65</f>
        <v>0</v>
      </c>
      <c r="AU65" s="251">
        <f t="shared" si="37"/>
        <v>0</v>
      </c>
      <c r="AV65" s="198"/>
      <c r="AW65" s="198"/>
    </row>
    <row r="66" spans="1:49" s="201" customFormat="1" ht="15.75" thickBot="1" x14ac:dyDescent="0.3">
      <c r="A66" s="201" t="str">
        <f t="shared" si="15"/>
        <v>sábado</v>
      </c>
      <c r="B66" s="446"/>
      <c r="C66" s="450"/>
      <c r="D66" s="451"/>
      <c r="E66" s="451"/>
      <c r="F66" s="451"/>
      <c r="G66" s="449"/>
      <c r="H66" s="449"/>
      <c r="I66" s="537"/>
      <c r="J66" s="454"/>
      <c r="K66" s="422"/>
      <c r="L66" s="1"/>
      <c r="M66" s="87"/>
      <c r="N66" s="87"/>
      <c r="O66" s="87"/>
      <c r="P66" s="87"/>
      <c r="Q66" s="271" t="s">
        <v>123</v>
      </c>
      <c r="R66" s="256">
        <f>+COUNTIFS($J:$J,"estudiante_externo",$K:$K,"otro",$A:$A,"lunes")</f>
        <v>0</v>
      </c>
      <c r="S66" s="251">
        <f>+SUMIFS($H:$H,$J:$J,"estudiante_externo",$K:$K,"otro",$A:$A,"lunes")</f>
        <v>0</v>
      </c>
      <c r="T66" s="249">
        <f>+COUNTIFS($J:$J,"estudiante_externo",$K:$K,"otro",$A:$A,"martes")</f>
        <v>0</v>
      </c>
      <c r="U66" s="251">
        <f>+SUMIFS($H:$H,$J:$J,"estudiante_externo",$K:$K,"otro",$A:$A,"martes")</f>
        <v>0</v>
      </c>
      <c r="V66" s="249">
        <f>+COUNTIFS($J:$J,"estudiante_externo",$K:$K,"otro",$A:$A,"miércoles")</f>
        <v>0</v>
      </c>
      <c r="W66" s="251">
        <f>+SUMIFS($H:$H,$J:$J,"estudiante_externo",$K:$K,"otro",$A:$A,"miércoles")</f>
        <v>0</v>
      </c>
      <c r="X66" s="249">
        <f>+COUNTIFS($J:$J,"estudiante_externo",$K:$K,"otro",$A:$A,"jueves")</f>
        <v>0</v>
      </c>
      <c r="Y66" s="251">
        <f>+SUMIFS($H:$H,$J:$J,"estudiante_externo",$K:$K,"otro",$A:$A,"jueves")</f>
        <v>0</v>
      </c>
      <c r="Z66" s="249">
        <f>+COUNTIFS($J:$J,"estudiante_externo",$K:$K,"otro",$A:$A,"Viernes")</f>
        <v>0</v>
      </c>
      <c r="AA66" s="251">
        <f>+SUMIFS($H:$H,$J:$J,"estudiante_externo",$K:$K,"otro",$A:$A,"Viernes")</f>
        <v>0</v>
      </c>
      <c r="AB66" s="249">
        <f>+COUNTIFS($J:$J,"estudiante_externo",$K:$K,"otro",$A:$A,"sábado")</f>
        <v>0</v>
      </c>
      <c r="AC66" s="251">
        <f>+SUMIFS($H:$H,$J:$J,"estudiante_externo",$K:$K,"otro",$A:$A,"sábado")</f>
        <v>0</v>
      </c>
      <c r="AD66" s="257">
        <f>+R66+T66+V66+X66+Z66+AB66</f>
        <v>0</v>
      </c>
      <c r="AE66" s="252">
        <f t="shared" si="36"/>
        <v>0</v>
      </c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294">
        <f>SUM(AT59:AT65)</f>
        <v>0</v>
      </c>
      <c r="AU66" s="295">
        <f>SUM(AU59:AU65)</f>
        <v>0</v>
      </c>
      <c r="AV66" s="198"/>
      <c r="AW66" s="198"/>
    </row>
    <row r="67" spans="1:49" s="43" customFormat="1" ht="16.5" thickBot="1" x14ac:dyDescent="0.3">
      <c r="A67" s="201" t="str">
        <f t="shared" si="15"/>
        <v>sábado</v>
      </c>
      <c r="B67" s="446"/>
      <c r="C67" s="105"/>
      <c r="D67" s="102"/>
      <c r="E67" s="102"/>
      <c r="F67" s="102"/>
      <c r="G67" s="102"/>
      <c r="H67" s="102"/>
      <c r="I67" s="102"/>
      <c r="J67" s="422"/>
      <c r="K67" s="38"/>
      <c r="L67" s="1"/>
      <c r="M67" s="87"/>
      <c r="N67" s="87"/>
      <c r="O67" s="87"/>
      <c r="P67" s="87"/>
      <c r="Q67" s="286" t="s">
        <v>9</v>
      </c>
      <c r="R67" s="287">
        <f>SUM(R59:R66)</f>
        <v>0</v>
      </c>
      <c r="S67" s="287">
        <f t="shared" ref="S67:AE67" si="38">SUM(S59:S66)</f>
        <v>0</v>
      </c>
      <c r="T67" s="287">
        <f t="shared" si="38"/>
        <v>0</v>
      </c>
      <c r="U67" s="287">
        <f t="shared" si="38"/>
        <v>0</v>
      </c>
      <c r="V67" s="287">
        <f t="shared" si="38"/>
        <v>0</v>
      </c>
      <c r="W67" s="287">
        <f t="shared" si="38"/>
        <v>0</v>
      </c>
      <c r="X67" s="287">
        <f t="shared" si="38"/>
        <v>0</v>
      </c>
      <c r="Y67" s="287">
        <f t="shared" si="38"/>
        <v>0</v>
      </c>
      <c r="Z67" s="287">
        <f t="shared" si="38"/>
        <v>0</v>
      </c>
      <c r="AA67" s="287">
        <f t="shared" si="38"/>
        <v>0</v>
      </c>
      <c r="AB67" s="287">
        <f t="shared" si="38"/>
        <v>0</v>
      </c>
      <c r="AC67" s="288">
        <f t="shared" si="38"/>
        <v>0</v>
      </c>
      <c r="AD67" s="289">
        <f t="shared" si="38"/>
        <v>0</v>
      </c>
      <c r="AE67" s="290">
        <f t="shared" si="38"/>
        <v>0</v>
      </c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198"/>
      <c r="AW67" s="198"/>
    </row>
    <row r="68" spans="1:49" s="43" customFormat="1" ht="15" x14ac:dyDescent="0.25">
      <c r="A68" s="201" t="str">
        <f t="shared" si="15"/>
        <v>sábado</v>
      </c>
      <c r="B68" s="446"/>
      <c r="C68" s="422"/>
      <c r="D68" s="397"/>
      <c r="E68" s="422"/>
      <c r="F68" s="422"/>
      <c r="G68" s="401"/>
      <c r="H68" s="401"/>
      <c r="I68" s="401"/>
      <c r="J68" s="422"/>
      <c r="K68" s="422"/>
      <c r="L68" s="1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</row>
    <row r="69" spans="1:49" s="43" customFormat="1" ht="15" x14ac:dyDescent="0.25">
      <c r="A69" s="201" t="str">
        <f t="shared" si="15"/>
        <v>sábado</v>
      </c>
      <c r="B69" s="446"/>
      <c r="C69" s="422"/>
      <c r="D69" s="537"/>
      <c r="E69" s="422"/>
      <c r="F69" s="422"/>
      <c r="G69" s="401"/>
      <c r="H69" s="401"/>
      <c r="I69" s="401"/>
      <c r="J69" s="422"/>
      <c r="K69" s="422"/>
      <c r="L69" s="1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</row>
    <row r="70" spans="1:49" s="43" customFormat="1" ht="15.75" x14ac:dyDescent="0.25">
      <c r="A70" s="201" t="str">
        <f t="shared" si="15"/>
        <v>sábado</v>
      </c>
      <c r="B70" s="446"/>
      <c r="C70" s="470"/>
      <c r="D70" s="451"/>
      <c r="E70" s="451"/>
      <c r="F70" s="451"/>
      <c r="G70" s="451"/>
      <c r="H70" s="451"/>
      <c r="I70" s="102"/>
      <c r="J70" s="422"/>
      <c r="K70" s="422"/>
      <c r="L70" s="1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</row>
    <row r="71" spans="1:49" s="43" customFormat="1" ht="15.75" x14ac:dyDescent="0.25">
      <c r="A71" s="201" t="str">
        <f t="shared" si="15"/>
        <v>sábado</v>
      </c>
      <c r="B71" s="446"/>
      <c r="C71" s="422"/>
      <c r="D71" s="102"/>
      <c r="E71" s="102"/>
      <c r="F71" s="102"/>
      <c r="G71" s="102"/>
      <c r="H71" s="102"/>
      <c r="I71" s="102"/>
      <c r="J71" s="422"/>
      <c r="K71" s="422"/>
      <c r="L71" s="1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</row>
    <row r="72" spans="1:49" ht="15" x14ac:dyDescent="0.25">
      <c r="A72" s="201" t="str">
        <f t="shared" si="15"/>
        <v>sábado</v>
      </c>
      <c r="B72" s="446"/>
      <c r="C72" s="422"/>
      <c r="D72" s="401"/>
      <c r="E72" s="401"/>
      <c r="F72" s="401"/>
      <c r="G72" s="401"/>
      <c r="H72" s="401"/>
      <c r="I72" s="401"/>
      <c r="J72" s="422"/>
      <c r="K72" s="422"/>
      <c r="L72" s="1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</row>
    <row r="73" spans="1:49" s="43" customFormat="1" ht="15" x14ac:dyDescent="0.25">
      <c r="A73" s="201" t="str">
        <f t="shared" si="15"/>
        <v>sábado</v>
      </c>
      <c r="B73" s="446"/>
      <c r="C73" s="470"/>
      <c r="D73" s="451"/>
      <c r="E73" s="451"/>
      <c r="F73" s="451"/>
      <c r="G73" s="451"/>
      <c r="H73" s="451"/>
      <c r="I73" s="401"/>
      <c r="J73" s="422"/>
      <c r="K73" s="422"/>
      <c r="L73" s="1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</row>
    <row r="74" spans="1:49" ht="15" x14ac:dyDescent="0.25">
      <c r="A74" s="201" t="str">
        <f t="shared" ref="A74:A77" si="39">+TEXT(B74,"dddd")</f>
        <v>sábado</v>
      </c>
      <c r="B74" s="446"/>
      <c r="C74" s="422"/>
      <c r="D74" s="401"/>
      <c r="E74" s="401"/>
      <c r="F74" s="401"/>
      <c r="G74" s="401"/>
      <c r="H74" s="401"/>
      <c r="I74" s="401"/>
      <c r="J74" s="422"/>
      <c r="K74" s="422"/>
      <c r="L74" s="1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</row>
    <row r="75" spans="1:49" s="43" customFormat="1" ht="15" x14ac:dyDescent="0.25">
      <c r="A75" s="201" t="str">
        <f t="shared" si="39"/>
        <v>sábado</v>
      </c>
      <c r="B75" s="446"/>
      <c r="C75" s="422"/>
      <c r="D75" s="401"/>
      <c r="E75" s="401"/>
      <c r="F75" s="401"/>
      <c r="G75" s="401"/>
      <c r="H75" s="401"/>
      <c r="I75" s="401"/>
      <c r="J75" s="422"/>
      <c r="K75" s="422"/>
      <c r="L75" s="1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</row>
    <row r="76" spans="1:49" s="43" customFormat="1" ht="15" x14ac:dyDescent="0.25">
      <c r="A76" s="201" t="str">
        <f t="shared" si="39"/>
        <v>sábado</v>
      </c>
      <c r="B76" s="446"/>
      <c r="C76" s="422"/>
      <c r="D76" s="401"/>
      <c r="E76" s="401"/>
      <c r="F76" s="401"/>
      <c r="G76" s="401"/>
      <c r="H76" s="401"/>
      <c r="I76" s="401"/>
      <c r="J76" s="422"/>
      <c r="K76" s="461"/>
      <c r="L76" s="1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</row>
    <row r="77" spans="1:49" s="43" customFormat="1" ht="15" x14ac:dyDescent="0.25">
      <c r="A77" s="201" t="str">
        <f t="shared" si="39"/>
        <v>sábado</v>
      </c>
      <c r="B77" s="446"/>
      <c r="C77" s="439"/>
      <c r="D77" s="491"/>
      <c r="E77" s="451"/>
      <c r="F77" s="451"/>
      <c r="G77" s="457"/>
      <c r="H77" s="457"/>
      <c r="I77" s="498"/>
      <c r="J77" s="422"/>
      <c r="K77" s="461"/>
      <c r="L77" s="1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</row>
    <row r="78" spans="1:49" s="43" customFormat="1" ht="15" x14ac:dyDescent="0.25">
      <c r="A78" s="201" t="str">
        <f t="shared" ref="A78:A138" si="40">+TEXT(B77,"dddd")</f>
        <v>sábado</v>
      </c>
      <c r="B78" s="401"/>
      <c r="C78" s="422"/>
      <c r="D78" s="401"/>
      <c r="E78" s="422"/>
      <c r="F78" s="422"/>
      <c r="G78" s="422"/>
      <c r="H78" s="422"/>
      <c r="I78" s="422"/>
      <c r="J78" s="422"/>
      <c r="K78" s="461"/>
      <c r="L78" s="1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</row>
    <row r="79" spans="1:49" s="43" customFormat="1" ht="15" x14ac:dyDescent="0.25">
      <c r="A79" s="201" t="str">
        <f t="shared" si="40"/>
        <v>sábado</v>
      </c>
      <c r="B79" s="422"/>
      <c r="C79" s="422"/>
      <c r="D79" s="401"/>
      <c r="E79" s="422"/>
      <c r="F79" s="422"/>
      <c r="G79" s="422"/>
      <c r="H79" s="422"/>
      <c r="I79" s="422"/>
      <c r="J79" s="422"/>
      <c r="K79" s="461"/>
      <c r="L79" s="1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</row>
    <row r="80" spans="1:49" s="43" customFormat="1" ht="15" x14ac:dyDescent="0.25">
      <c r="A80" s="201" t="str">
        <f t="shared" si="40"/>
        <v>sábado</v>
      </c>
      <c r="B80" s="422"/>
      <c r="C80" s="422"/>
      <c r="D80" s="401"/>
      <c r="E80" s="422"/>
      <c r="F80" s="422"/>
      <c r="G80" s="422"/>
      <c r="H80" s="422"/>
      <c r="I80" s="422"/>
      <c r="J80" s="422"/>
      <c r="K80" s="461"/>
      <c r="L80" s="1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</row>
    <row r="81" spans="1:49" s="43" customFormat="1" ht="15" x14ac:dyDescent="0.25">
      <c r="A81" s="201" t="str">
        <f t="shared" si="40"/>
        <v>sábado</v>
      </c>
      <c r="B81" s="422"/>
      <c r="C81" s="422"/>
      <c r="D81" s="401"/>
      <c r="E81" s="422"/>
      <c r="F81" s="422"/>
      <c r="G81" s="422"/>
      <c r="H81" s="422"/>
      <c r="I81" s="422"/>
      <c r="J81" s="422"/>
      <c r="K81" s="461"/>
      <c r="L81" s="1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</row>
    <row r="82" spans="1:49" s="43" customFormat="1" ht="15" x14ac:dyDescent="0.25">
      <c r="A82" s="201" t="str">
        <f t="shared" si="40"/>
        <v>sábado</v>
      </c>
      <c r="B82" s="461"/>
      <c r="C82" s="422"/>
      <c r="D82" s="401"/>
      <c r="E82" s="422"/>
      <c r="F82" s="422"/>
      <c r="G82" s="422"/>
      <c r="H82" s="422"/>
      <c r="I82" s="422"/>
      <c r="J82" s="422"/>
      <c r="K82" s="461"/>
      <c r="L82" s="1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</row>
    <row r="83" spans="1:49" s="43" customFormat="1" ht="15" x14ac:dyDescent="0.25">
      <c r="A83" s="201" t="str">
        <f t="shared" si="40"/>
        <v>sábado</v>
      </c>
      <c r="B83" s="461"/>
      <c r="C83" s="461"/>
      <c r="D83" s="462"/>
      <c r="E83" s="461"/>
      <c r="F83" s="461"/>
      <c r="G83" s="461"/>
      <c r="H83" s="461"/>
      <c r="I83" s="461"/>
      <c r="J83" s="461"/>
      <c r="K83" s="461"/>
      <c r="L83" s="1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</row>
    <row r="84" spans="1:49" ht="15" x14ac:dyDescent="0.25">
      <c r="A84" s="201" t="str">
        <f t="shared" si="40"/>
        <v>sábado</v>
      </c>
      <c r="B84" s="461"/>
      <c r="C84" s="461"/>
      <c r="D84" s="462"/>
      <c r="E84" s="461"/>
      <c r="F84" s="461"/>
      <c r="G84" s="461"/>
      <c r="H84" s="461"/>
      <c r="I84" s="461"/>
      <c r="J84" s="461"/>
      <c r="K84" s="461"/>
      <c r="L84" s="1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</row>
    <row r="85" spans="1:49" s="43" customFormat="1" ht="15" x14ac:dyDescent="0.25">
      <c r="A85" s="201" t="str">
        <f t="shared" si="40"/>
        <v>sábado</v>
      </c>
      <c r="B85" s="461"/>
      <c r="C85" s="461"/>
      <c r="D85" s="462"/>
      <c r="E85" s="461"/>
      <c r="F85" s="461"/>
      <c r="G85" s="461"/>
      <c r="H85" s="461"/>
      <c r="I85" s="461"/>
      <c r="J85" s="461"/>
      <c r="K85" s="461"/>
      <c r="L85" s="1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</row>
    <row r="86" spans="1:49" s="43" customFormat="1" ht="15" x14ac:dyDescent="0.25">
      <c r="A86" s="201" t="str">
        <f t="shared" si="40"/>
        <v>sábado</v>
      </c>
      <c r="B86" s="461"/>
      <c r="C86" s="461"/>
      <c r="D86" s="462"/>
      <c r="E86" s="461"/>
      <c r="F86" s="461"/>
      <c r="G86" s="461"/>
      <c r="H86" s="461"/>
      <c r="I86" s="461"/>
      <c r="J86" s="461"/>
      <c r="K86" s="461"/>
      <c r="L86" s="1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</row>
    <row r="87" spans="1:49" s="43" customFormat="1" ht="15" x14ac:dyDescent="0.25">
      <c r="A87" s="201" t="str">
        <f t="shared" si="40"/>
        <v>sábado</v>
      </c>
      <c r="B87" s="461"/>
      <c r="C87" s="461"/>
      <c r="D87" s="462"/>
      <c r="E87" s="461"/>
      <c r="F87" s="461"/>
      <c r="G87" s="461"/>
      <c r="H87" s="461"/>
      <c r="I87" s="461"/>
      <c r="J87" s="461"/>
      <c r="K87" s="461"/>
      <c r="L87" s="1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</row>
    <row r="88" spans="1:49" s="43" customFormat="1" ht="15" x14ac:dyDescent="0.25">
      <c r="A88" s="201" t="str">
        <f t="shared" si="40"/>
        <v>sábado</v>
      </c>
      <c r="B88" s="461"/>
      <c r="C88" s="461"/>
      <c r="D88" s="462"/>
      <c r="E88" s="461"/>
      <c r="F88" s="461"/>
      <c r="G88" s="461"/>
      <c r="H88" s="461"/>
      <c r="I88" s="461"/>
      <c r="J88" s="461"/>
      <c r="K88" s="461"/>
      <c r="L88" s="1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</row>
    <row r="89" spans="1:49" s="43" customFormat="1" ht="15" x14ac:dyDescent="0.25">
      <c r="A89" s="201" t="str">
        <f t="shared" si="40"/>
        <v>sábado</v>
      </c>
      <c r="B89" s="461"/>
      <c r="C89" s="461"/>
      <c r="D89" s="462"/>
      <c r="E89" s="461"/>
      <c r="F89" s="461"/>
      <c r="G89" s="461"/>
      <c r="H89" s="461"/>
      <c r="I89" s="461"/>
      <c r="J89" s="461"/>
      <c r="K89" s="461"/>
      <c r="L89" s="1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</row>
    <row r="90" spans="1:49" s="43" customFormat="1" ht="15" x14ac:dyDescent="0.25">
      <c r="A90" s="201" t="str">
        <f t="shared" si="40"/>
        <v>sábado</v>
      </c>
      <c r="B90" s="461"/>
      <c r="C90" s="461"/>
      <c r="D90" s="462"/>
      <c r="E90" s="461"/>
      <c r="F90" s="461"/>
      <c r="G90" s="461"/>
      <c r="H90" s="461"/>
      <c r="I90" s="461"/>
      <c r="J90" s="461"/>
      <c r="K90" s="461"/>
      <c r="L90" s="1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</row>
    <row r="91" spans="1:49" ht="15" x14ac:dyDescent="0.25">
      <c r="A91" s="201" t="str">
        <f t="shared" si="40"/>
        <v>sábado</v>
      </c>
      <c r="B91" s="461"/>
      <c r="C91" s="461"/>
      <c r="D91" s="462"/>
      <c r="E91" s="461"/>
      <c r="F91" s="461"/>
      <c r="G91" s="461"/>
      <c r="H91" s="461"/>
      <c r="I91" s="461"/>
      <c r="J91" s="461"/>
      <c r="K91" s="461"/>
      <c r="L91" s="1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</row>
    <row r="92" spans="1:49" s="43" customFormat="1" ht="15" x14ac:dyDescent="0.25">
      <c r="A92" s="201" t="str">
        <f t="shared" si="40"/>
        <v>sábado</v>
      </c>
      <c r="B92" s="461"/>
      <c r="C92" s="461"/>
      <c r="D92" s="462"/>
      <c r="E92" s="461"/>
      <c r="F92" s="461"/>
      <c r="G92" s="461"/>
      <c r="H92" s="461"/>
      <c r="I92" s="461"/>
      <c r="J92" s="461"/>
      <c r="K92" s="461"/>
      <c r="L92" s="1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</row>
    <row r="93" spans="1:49" s="43" customFormat="1" ht="15" x14ac:dyDescent="0.25">
      <c r="A93" s="201" t="str">
        <f t="shared" si="40"/>
        <v>sábado</v>
      </c>
      <c r="B93" s="461"/>
      <c r="C93" s="461"/>
      <c r="D93" s="462"/>
      <c r="E93" s="461"/>
      <c r="F93" s="461"/>
      <c r="G93" s="461"/>
      <c r="H93" s="461"/>
      <c r="I93" s="461"/>
      <c r="J93" s="461"/>
      <c r="K93" s="461"/>
      <c r="L93" s="1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</row>
    <row r="94" spans="1:49" ht="15" x14ac:dyDescent="0.25">
      <c r="A94" s="201" t="str">
        <f t="shared" si="40"/>
        <v>sábado</v>
      </c>
      <c r="B94" s="461"/>
      <c r="C94" s="461"/>
      <c r="D94" s="462"/>
      <c r="E94" s="461"/>
      <c r="F94" s="461"/>
      <c r="G94" s="461"/>
      <c r="H94" s="461"/>
      <c r="I94" s="461"/>
      <c r="J94" s="461"/>
      <c r="K94" s="461"/>
      <c r="L94" s="1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</row>
    <row r="95" spans="1:49" s="43" customFormat="1" ht="15" x14ac:dyDescent="0.25">
      <c r="A95" s="201" t="str">
        <f t="shared" si="40"/>
        <v>sábado</v>
      </c>
      <c r="B95" s="461"/>
      <c r="C95" s="461"/>
      <c r="D95" s="462"/>
      <c r="E95" s="461"/>
      <c r="F95" s="461"/>
      <c r="G95" s="461"/>
      <c r="H95" s="461"/>
      <c r="I95" s="461"/>
      <c r="J95" s="461"/>
      <c r="K95" s="461"/>
      <c r="L95" s="1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</row>
    <row r="96" spans="1:49" s="43" customFormat="1" ht="15" x14ac:dyDescent="0.25">
      <c r="A96" s="201" t="str">
        <f t="shared" si="40"/>
        <v>sábado</v>
      </c>
      <c r="B96" s="461"/>
      <c r="C96" s="461"/>
      <c r="D96" s="462"/>
      <c r="E96" s="461"/>
      <c r="F96" s="461"/>
      <c r="G96" s="461"/>
      <c r="H96" s="461"/>
      <c r="I96" s="461"/>
      <c r="J96" s="461"/>
      <c r="K96" s="461"/>
      <c r="L96" s="1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</row>
    <row r="97" spans="1:49" s="43" customFormat="1" ht="15" x14ac:dyDescent="0.25">
      <c r="A97" s="201" t="str">
        <f t="shared" si="40"/>
        <v>sábado</v>
      </c>
      <c r="B97" s="461"/>
      <c r="C97" s="461"/>
      <c r="D97" s="462"/>
      <c r="E97" s="461"/>
      <c r="F97" s="461"/>
      <c r="G97" s="461"/>
      <c r="H97" s="461"/>
      <c r="I97" s="461"/>
      <c r="J97" s="461"/>
      <c r="K97" s="461"/>
      <c r="L97" s="1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</row>
    <row r="98" spans="1:49" s="43" customFormat="1" ht="15" x14ac:dyDescent="0.25">
      <c r="A98" s="201" t="str">
        <f t="shared" si="40"/>
        <v>sábado</v>
      </c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1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</row>
    <row r="99" spans="1:49" s="43" customFormat="1" ht="15" x14ac:dyDescent="0.25">
      <c r="A99" s="201" t="str">
        <f t="shared" si="40"/>
        <v>sábado</v>
      </c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1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</row>
    <row r="100" spans="1:49" s="43" customFormat="1" ht="15" x14ac:dyDescent="0.25">
      <c r="A100" s="201" t="str">
        <f t="shared" si="40"/>
        <v>sábado</v>
      </c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1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</row>
    <row r="101" spans="1:49" ht="15" x14ac:dyDescent="0.25">
      <c r="A101" s="201" t="str">
        <f t="shared" si="40"/>
        <v>sábado</v>
      </c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1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</row>
    <row r="102" spans="1:49" s="43" customFormat="1" ht="15" x14ac:dyDescent="0.25">
      <c r="A102" s="201" t="str">
        <f t="shared" si="40"/>
        <v>sábado</v>
      </c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1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</row>
    <row r="103" spans="1:49" ht="15" x14ac:dyDescent="0.25">
      <c r="A103" s="201" t="str">
        <f t="shared" si="40"/>
        <v>sábado</v>
      </c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1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</row>
    <row r="104" spans="1:49" s="43" customFormat="1" ht="15" x14ac:dyDescent="0.25">
      <c r="A104" s="201" t="str">
        <f t="shared" si="40"/>
        <v>sábado</v>
      </c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1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</row>
    <row r="105" spans="1:49" s="43" customFormat="1" ht="15" x14ac:dyDescent="0.25">
      <c r="A105" s="201" t="str">
        <f t="shared" si="40"/>
        <v>sábado</v>
      </c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1"/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</row>
    <row r="106" spans="1:49" s="43" customFormat="1" ht="15" x14ac:dyDescent="0.25">
      <c r="A106" s="201" t="str">
        <f t="shared" si="40"/>
        <v>sábado</v>
      </c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1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</row>
    <row r="107" spans="1:49" s="43" customFormat="1" ht="15" x14ac:dyDescent="0.25">
      <c r="A107" s="201" t="str">
        <f t="shared" si="40"/>
        <v>sábado</v>
      </c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1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</row>
    <row r="108" spans="1:49" s="43" customFormat="1" ht="15" x14ac:dyDescent="0.25">
      <c r="A108" s="201" t="str">
        <f t="shared" si="40"/>
        <v>sábado</v>
      </c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1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</row>
    <row r="109" spans="1:49" s="43" customFormat="1" ht="15" x14ac:dyDescent="0.25">
      <c r="A109" s="201" t="str">
        <f t="shared" si="40"/>
        <v>sábado</v>
      </c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1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</row>
    <row r="110" spans="1:49" s="43" customFormat="1" ht="15" x14ac:dyDescent="0.25">
      <c r="A110" s="201" t="str">
        <f t="shared" si="40"/>
        <v>sábado</v>
      </c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1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</row>
    <row r="111" spans="1:49" s="43" customFormat="1" ht="15" x14ac:dyDescent="0.25">
      <c r="A111" s="201" t="str">
        <f t="shared" si="40"/>
        <v>sábado</v>
      </c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1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</row>
    <row r="112" spans="1:49" s="43" customFormat="1" ht="15" x14ac:dyDescent="0.25">
      <c r="A112" s="201" t="str">
        <f t="shared" si="40"/>
        <v>sábado</v>
      </c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1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</row>
    <row r="113" spans="1:49" s="43" customFormat="1" ht="15" x14ac:dyDescent="0.25">
      <c r="A113" s="201" t="str">
        <f t="shared" si="40"/>
        <v>sábado</v>
      </c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1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</row>
    <row r="114" spans="1:49" s="43" customFormat="1" ht="15" x14ac:dyDescent="0.25">
      <c r="A114" s="201" t="str">
        <f t="shared" si="40"/>
        <v>sábado</v>
      </c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1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</row>
    <row r="115" spans="1:49" s="43" customFormat="1" ht="15" x14ac:dyDescent="0.25">
      <c r="A115" s="201" t="str">
        <f t="shared" si="40"/>
        <v>sábado</v>
      </c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1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</row>
    <row r="116" spans="1:49" s="43" customFormat="1" ht="15" x14ac:dyDescent="0.25">
      <c r="A116" s="201" t="str">
        <f t="shared" si="40"/>
        <v>sábado</v>
      </c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1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</row>
    <row r="117" spans="1:49" s="43" customFormat="1" ht="15" x14ac:dyDescent="0.25">
      <c r="A117" s="201" t="str">
        <f t="shared" si="40"/>
        <v>sábado</v>
      </c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1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</row>
    <row r="118" spans="1:49" s="43" customFormat="1" ht="15" x14ac:dyDescent="0.25">
      <c r="A118" s="201" t="str">
        <f t="shared" si="40"/>
        <v>sábado</v>
      </c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1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</row>
    <row r="119" spans="1:49" s="43" customFormat="1" ht="15" x14ac:dyDescent="0.25">
      <c r="A119" s="201" t="str">
        <f t="shared" si="40"/>
        <v>sábado</v>
      </c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1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</row>
    <row r="120" spans="1:49" s="43" customFormat="1" ht="15" x14ac:dyDescent="0.25">
      <c r="A120" s="201" t="str">
        <f t="shared" si="40"/>
        <v>sábado</v>
      </c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1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</row>
    <row r="121" spans="1:49" s="43" customFormat="1" ht="15" x14ac:dyDescent="0.25">
      <c r="A121" s="201" t="str">
        <f t="shared" si="40"/>
        <v>sábado</v>
      </c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1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</row>
    <row r="122" spans="1:49" s="43" customFormat="1" ht="15" x14ac:dyDescent="0.25">
      <c r="A122" s="201" t="str">
        <f t="shared" si="40"/>
        <v>sábado</v>
      </c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1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</row>
    <row r="123" spans="1:49" s="43" customFormat="1" ht="15" x14ac:dyDescent="0.25">
      <c r="A123" s="201" t="str">
        <f t="shared" si="40"/>
        <v>sábado</v>
      </c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1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</row>
    <row r="124" spans="1:49" s="43" customFormat="1" ht="15" x14ac:dyDescent="0.25">
      <c r="A124" s="201" t="str">
        <f t="shared" si="40"/>
        <v>sábado</v>
      </c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1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</row>
    <row r="125" spans="1:49" s="43" customFormat="1" ht="15" x14ac:dyDescent="0.25">
      <c r="A125" s="201" t="str">
        <f t="shared" si="40"/>
        <v>sábado</v>
      </c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  <c r="L125" s="1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</row>
    <row r="126" spans="1:49" s="43" customFormat="1" ht="15" x14ac:dyDescent="0.25">
      <c r="A126" s="201" t="str">
        <f t="shared" si="40"/>
        <v>sábado</v>
      </c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  <c r="L126" s="1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</row>
    <row r="127" spans="1:49" s="43" customFormat="1" ht="15" x14ac:dyDescent="0.25">
      <c r="A127" s="201" t="str">
        <f t="shared" si="40"/>
        <v>sábado</v>
      </c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  <c r="L127" s="1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</row>
    <row r="128" spans="1:49" s="43" customFormat="1" ht="15" x14ac:dyDescent="0.25">
      <c r="A128" s="201" t="str">
        <f t="shared" si="40"/>
        <v>sábado</v>
      </c>
      <c r="B128" s="461"/>
      <c r="C128" s="461"/>
      <c r="D128" s="461"/>
      <c r="E128" s="461"/>
      <c r="F128" s="461"/>
      <c r="G128" s="461"/>
      <c r="H128" s="461"/>
      <c r="I128" s="461"/>
      <c r="J128" s="461"/>
      <c r="K128" s="461"/>
      <c r="L128" s="1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</row>
    <row r="129" spans="1:49" s="43" customFormat="1" ht="15" x14ac:dyDescent="0.25">
      <c r="A129" s="201" t="str">
        <f t="shared" si="40"/>
        <v>sábado</v>
      </c>
      <c r="B129" s="461"/>
      <c r="C129" s="461"/>
      <c r="D129" s="461"/>
      <c r="E129" s="461"/>
      <c r="F129" s="461"/>
      <c r="G129" s="461"/>
      <c r="H129" s="461"/>
      <c r="I129" s="461"/>
      <c r="J129" s="461"/>
      <c r="K129" s="461"/>
      <c r="L129" s="1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</row>
    <row r="130" spans="1:49" s="43" customFormat="1" ht="15" x14ac:dyDescent="0.25">
      <c r="A130" s="201" t="str">
        <f t="shared" si="40"/>
        <v>sábado</v>
      </c>
      <c r="B130" s="461"/>
      <c r="C130" s="461"/>
      <c r="D130" s="461"/>
      <c r="E130" s="461"/>
      <c r="F130" s="461"/>
      <c r="G130" s="461"/>
      <c r="H130" s="461"/>
      <c r="I130" s="461"/>
      <c r="J130" s="461"/>
      <c r="K130" s="461"/>
      <c r="L130" s="1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</row>
    <row r="131" spans="1:49" s="43" customFormat="1" ht="15" x14ac:dyDescent="0.25">
      <c r="A131" s="201" t="str">
        <f t="shared" si="40"/>
        <v>sábado</v>
      </c>
      <c r="B131" s="461"/>
      <c r="C131" s="461"/>
      <c r="D131" s="461"/>
      <c r="E131" s="461"/>
      <c r="F131" s="461"/>
      <c r="G131" s="461"/>
      <c r="H131" s="461"/>
      <c r="I131" s="461"/>
      <c r="J131" s="461"/>
      <c r="K131" s="461"/>
      <c r="L131" s="1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</row>
    <row r="132" spans="1:49" s="43" customFormat="1" ht="15" x14ac:dyDescent="0.25">
      <c r="A132" s="201" t="str">
        <f t="shared" si="40"/>
        <v>sábado</v>
      </c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1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</row>
    <row r="133" spans="1:49" s="43" customFormat="1" ht="15" x14ac:dyDescent="0.25">
      <c r="A133" s="201" t="str">
        <f t="shared" si="40"/>
        <v>sábado</v>
      </c>
      <c r="B133" s="461"/>
      <c r="C133" s="461"/>
      <c r="D133" s="461"/>
      <c r="E133" s="461"/>
      <c r="F133" s="461"/>
      <c r="G133" s="461"/>
      <c r="H133" s="461"/>
      <c r="I133" s="461"/>
      <c r="J133" s="461"/>
      <c r="K133" s="461"/>
      <c r="L133" s="1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</row>
    <row r="134" spans="1:49" s="43" customFormat="1" ht="15" x14ac:dyDescent="0.25">
      <c r="A134" s="201" t="str">
        <f t="shared" si="40"/>
        <v>sábado</v>
      </c>
      <c r="B134" s="461"/>
      <c r="C134" s="461"/>
      <c r="D134" s="461"/>
      <c r="E134" s="461"/>
      <c r="F134" s="461"/>
      <c r="G134" s="461"/>
      <c r="H134" s="461"/>
      <c r="I134" s="461"/>
      <c r="J134" s="461"/>
      <c r="K134" s="461"/>
      <c r="L134" s="1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</row>
    <row r="135" spans="1:49" s="43" customFormat="1" ht="15" x14ac:dyDescent="0.25">
      <c r="A135" s="201" t="str">
        <f t="shared" si="40"/>
        <v>sábado</v>
      </c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  <c r="L135" s="1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</row>
    <row r="136" spans="1:49" s="43" customFormat="1" ht="15" x14ac:dyDescent="0.25">
      <c r="A136" s="201" t="str">
        <f t="shared" si="40"/>
        <v>sábado</v>
      </c>
      <c r="B136" s="461"/>
      <c r="C136" s="461"/>
      <c r="D136" s="461"/>
      <c r="E136" s="461"/>
      <c r="F136" s="461"/>
      <c r="G136" s="461"/>
      <c r="H136" s="461"/>
      <c r="I136" s="461"/>
      <c r="J136" s="461"/>
      <c r="K136" s="461"/>
      <c r="L136" s="1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</row>
    <row r="137" spans="1:49" s="43" customFormat="1" ht="15" x14ac:dyDescent="0.25">
      <c r="A137" s="201" t="str">
        <f t="shared" si="40"/>
        <v>sábado</v>
      </c>
      <c r="B137" s="461"/>
      <c r="C137" s="461"/>
      <c r="D137" s="461"/>
      <c r="E137" s="461"/>
      <c r="F137" s="461"/>
      <c r="G137" s="461"/>
      <c r="H137" s="461"/>
      <c r="I137" s="461"/>
      <c r="J137" s="461"/>
      <c r="K137" s="461"/>
      <c r="L137" s="1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</row>
    <row r="138" spans="1:49" s="43" customFormat="1" ht="15" x14ac:dyDescent="0.25">
      <c r="A138" s="201" t="str">
        <f t="shared" si="40"/>
        <v>sábado</v>
      </c>
      <c r="B138" s="461"/>
      <c r="C138" s="461"/>
      <c r="D138" s="461"/>
      <c r="E138" s="461"/>
      <c r="F138" s="461"/>
      <c r="G138" s="461"/>
      <c r="H138" s="461"/>
      <c r="I138" s="461"/>
      <c r="J138" s="461"/>
      <c r="K138" s="461"/>
      <c r="L138" s="1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</row>
    <row r="139" spans="1:49" s="43" customFormat="1" ht="15" x14ac:dyDescent="0.25">
      <c r="A139" s="201" t="str">
        <f t="shared" ref="A139:A202" si="41">+TEXT(B138,"dddd")</f>
        <v>sábado</v>
      </c>
      <c r="B139" s="461"/>
      <c r="C139" s="461"/>
      <c r="D139" s="461"/>
      <c r="E139" s="461"/>
      <c r="F139" s="461"/>
      <c r="G139" s="461"/>
      <c r="H139" s="461"/>
      <c r="I139" s="461"/>
      <c r="J139" s="461"/>
      <c r="K139" s="461"/>
      <c r="L139" s="1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</row>
    <row r="140" spans="1:49" s="43" customFormat="1" ht="15" x14ac:dyDescent="0.25">
      <c r="A140" s="201" t="str">
        <f t="shared" si="41"/>
        <v>sábado</v>
      </c>
      <c r="B140" s="461"/>
      <c r="C140" s="461"/>
      <c r="D140" s="461"/>
      <c r="E140" s="461"/>
      <c r="F140" s="461"/>
      <c r="G140" s="461"/>
      <c r="H140" s="461"/>
      <c r="I140" s="461"/>
      <c r="J140" s="461"/>
      <c r="K140" s="461"/>
      <c r="L140" s="1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</row>
    <row r="141" spans="1:49" ht="15" x14ac:dyDescent="0.25">
      <c r="A141" s="201" t="str">
        <f t="shared" si="41"/>
        <v>sábado</v>
      </c>
      <c r="B141" s="461"/>
      <c r="C141" s="461"/>
      <c r="D141" s="461"/>
      <c r="E141" s="461"/>
      <c r="F141" s="461"/>
      <c r="G141" s="461"/>
      <c r="H141" s="461"/>
      <c r="I141" s="461"/>
      <c r="J141" s="461"/>
      <c r="K141" s="461"/>
      <c r="L141" s="1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</row>
    <row r="142" spans="1:49" s="43" customFormat="1" ht="15" x14ac:dyDescent="0.25">
      <c r="A142" s="201" t="str">
        <f t="shared" si="41"/>
        <v>sábado</v>
      </c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  <c r="L142" s="1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</row>
    <row r="143" spans="1:49" s="43" customFormat="1" ht="15" x14ac:dyDescent="0.25">
      <c r="A143" s="201" t="str">
        <f t="shared" si="41"/>
        <v>sábado</v>
      </c>
      <c r="B143" s="461"/>
      <c r="C143" s="461"/>
      <c r="D143" s="461"/>
      <c r="E143" s="461"/>
      <c r="F143" s="461"/>
      <c r="G143" s="461"/>
      <c r="H143" s="461"/>
      <c r="I143" s="461"/>
      <c r="J143" s="461"/>
      <c r="K143" s="461"/>
      <c r="L143" s="1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</row>
    <row r="144" spans="1:49" s="43" customFormat="1" ht="15" x14ac:dyDescent="0.25">
      <c r="A144" s="201" t="str">
        <f t="shared" si="41"/>
        <v>sábado</v>
      </c>
      <c r="B144" s="461"/>
      <c r="C144" s="461"/>
      <c r="D144" s="461"/>
      <c r="E144" s="461"/>
      <c r="F144" s="461"/>
      <c r="G144" s="461"/>
      <c r="H144" s="461"/>
      <c r="I144" s="461"/>
      <c r="J144" s="461"/>
      <c r="K144" s="461"/>
      <c r="L144" s="1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</row>
    <row r="145" spans="1:49" s="43" customFormat="1" ht="15" x14ac:dyDescent="0.25">
      <c r="A145" s="201" t="str">
        <f t="shared" si="41"/>
        <v>sábado</v>
      </c>
      <c r="B145" s="461"/>
      <c r="C145" s="461"/>
      <c r="D145" s="461"/>
      <c r="E145" s="461"/>
      <c r="F145" s="461"/>
      <c r="G145" s="461"/>
      <c r="H145" s="461"/>
      <c r="I145" s="461"/>
      <c r="J145" s="461"/>
      <c r="K145" s="461"/>
      <c r="L145" s="1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</row>
    <row r="146" spans="1:49" s="43" customFormat="1" ht="15" x14ac:dyDescent="0.25">
      <c r="A146" s="201" t="str">
        <f t="shared" si="41"/>
        <v>sábado</v>
      </c>
      <c r="B146" s="461"/>
      <c r="C146" s="461"/>
      <c r="D146" s="461"/>
      <c r="E146" s="461"/>
      <c r="F146" s="461"/>
      <c r="G146" s="461"/>
      <c r="H146" s="461"/>
      <c r="I146" s="461"/>
      <c r="J146" s="461"/>
      <c r="K146" s="461"/>
      <c r="L146" s="1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</row>
    <row r="147" spans="1:49" s="43" customFormat="1" ht="15" x14ac:dyDescent="0.25">
      <c r="A147" s="201" t="str">
        <f t="shared" si="41"/>
        <v>sábado</v>
      </c>
      <c r="B147" s="461"/>
      <c r="C147" s="461"/>
      <c r="D147" s="461"/>
      <c r="E147" s="461"/>
      <c r="F147" s="461"/>
      <c r="G147" s="461"/>
      <c r="H147" s="461"/>
      <c r="I147" s="461"/>
      <c r="J147" s="461"/>
      <c r="K147" s="461"/>
      <c r="L147" s="1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</row>
    <row r="148" spans="1:49" s="43" customFormat="1" ht="15" x14ac:dyDescent="0.25">
      <c r="A148" s="201" t="str">
        <f t="shared" si="41"/>
        <v>sábado</v>
      </c>
      <c r="B148" s="461"/>
      <c r="C148" s="461"/>
      <c r="D148" s="461"/>
      <c r="E148" s="461"/>
      <c r="F148" s="461"/>
      <c r="G148" s="461"/>
      <c r="H148" s="461"/>
      <c r="I148" s="461"/>
      <c r="J148" s="461"/>
      <c r="K148" s="461"/>
      <c r="L148" s="1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</row>
    <row r="149" spans="1:49" s="43" customFormat="1" ht="15" x14ac:dyDescent="0.25">
      <c r="A149" s="201" t="str">
        <f t="shared" si="41"/>
        <v>sábado</v>
      </c>
      <c r="B149" s="461"/>
      <c r="C149" s="461"/>
      <c r="D149" s="461"/>
      <c r="E149" s="461"/>
      <c r="F149" s="461"/>
      <c r="G149" s="461"/>
      <c r="H149" s="461"/>
      <c r="I149" s="461"/>
      <c r="J149" s="461"/>
      <c r="K149" s="461"/>
      <c r="L149" s="1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</row>
    <row r="150" spans="1:49" s="43" customFormat="1" ht="15" x14ac:dyDescent="0.25">
      <c r="A150" s="201" t="str">
        <f t="shared" si="41"/>
        <v>sábado</v>
      </c>
      <c r="B150" s="461"/>
      <c r="C150" s="461"/>
      <c r="D150" s="461"/>
      <c r="E150" s="461"/>
      <c r="F150" s="461"/>
      <c r="G150" s="461"/>
      <c r="H150" s="461"/>
      <c r="I150" s="461"/>
      <c r="J150" s="461"/>
      <c r="K150" s="461"/>
      <c r="L150" s="1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</row>
    <row r="151" spans="1:49" s="43" customFormat="1" ht="15" x14ac:dyDescent="0.25">
      <c r="A151" s="201" t="str">
        <f t="shared" si="41"/>
        <v>sábado</v>
      </c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  <c r="L151" s="1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</row>
    <row r="152" spans="1:49" s="43" customFormat="1" ht="15" x14ac:dyDescent="0.25">
      <c r="A152" s="201" t="str">
        <f t="shared" si="41"/>
        <v>sábado</v>
      </c>
      <c r="B152" s="461"/>
      <c r="C152" s="461"/>
      <c r="D152" s="461"/>
      <c r="E152" s="461"/>
      <c r="F152" s="461"/>
      <c r="G152" s="461"/>
      <c r="H152" s="461"/>
      <c r="I152" s="461"/>
      <c r="J152" s="461"/>
      <c r="K152" s="461"/>
      <c r="L152" s="1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</row>
    <row r="153" spans="1:49" s="43" customFormat="1" ht="15" x14ac:dyDescent="0.25">
      <c r="A153" s="201" t="str">
        <f t="shared" si="41"/>
        <v>sábado</v>
      </c>
      <c r="B153" s="461"/>
      <c r="C153" s="461"/>
      <c r="D153" s="461"/>
      <c r="E153" s="461"/>
      <c r="F153" s="461"/>
      <c r="G153" s="461"/>
      <c r="H153" s="461"/>
      <c r="I153" s="461"/>
      <c r="J153" s="461"/>
      <c r="K153" s="461"/>
      <c r="L153" s="1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</row>
    <row r="154" spans="1:49" s="43" customFormat="1" ht="15" x14ac:dyDescent="0.25">
      <c r="A154" s="201" t="str">
        <f t="shared" si="41"/>
        <v>sábado</v>
      </c>
      <c r="B154" s="461"/>
      <c r="C154" s="461"/>
      <c r="D154" s="461"/>
      <c r="E154" s="461"/>
      <c r="F154" s="461"/>
      <c r="G154" s="461"/>
      <c r="H154" s="461"/>
      <c r="I154" s="461"/>
      <c r="J154" s="461"/>
      <c r="K154" s="461"/>
      <c r="L154" s="1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</row>
    <row r="155" spans="1:49" s="43" customFormat="1" ht="15" x14ac:dyDescent="0.25">
      <c r="A155" s="201" t="str">
        <f t="shared" si="41"/>
        <v>sábado</v>
      </c>
      <c r="B155" s="461"/>
      <c r="C155" s="461"/>
      <c r="D155" s="461"/>
      <c r="E155" s="461"/>
      <c r="F155" s="461"/>
      <c r="G155" s="461"/>
      <c r="H155" s="461"/>
      <c r="I155" s="461"/>
      <c r="J155" s="461"/>
      <c r="K155" s="461"/>
      <c r="L155" s="1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</row>
    <row r="156" spans="1:49" s="43" customFormat="1" ht="15" x14ac:dyDescent="0.25">
      <c r="A156" s="201" t="str">
        <f t="shared" si="41"/>
        <v>sábado</v>
      </c>
      <c r="B156" s="461"/>
      <c r="C156" s="461"/>
      <c r="D156" s="461"/>
      <c r="E156" s="461"/>
      <c r="F156" s="461"/>
      <c r="G156" s="461"/>
      <c r="H156" s="461"/>
      <c r="I156" s="461"/>
      <c r="J156" s="461"/>
      <c r="K156" s="461"/>
      <c r="L156" s="1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</row>
    <row r="157" spans="1:49" ht="15" x14ac:dyDescent="0.25">
      <c r="A157" s="201" t="str">
        <f t="shared" si="41"/>
        <v>sábado</v>
      </c>
      <c r="B157" s="461"/>
      <c r="C157" s="461"/>
      <c r="D157" s="461"/>
      <c r="E157" s="461"/>
      <c r="F157" s="461"/>
      <c r="G157" s="461"/>
      <c r="H157" s="461"/>
      <c r="I157" s="461"/>
      <c r="J157" s="461"/>
      <c r="K157" s="461"/>
      <c r="L157" s="1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</row>
    <row r="158" spans="1:49" s="43" customFormat="1" ht="15" x14ac:dyDescent="0.25">
      <c r="A158" s="201" t="str">
        <f t="shared" si="41"/>
        <v>sábado</v>
      </c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1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</row>
    <row r="159" spans="1:49" s="43" customFormat="1" ht="15" x14ac:dyDescent="0.25">
      <c r="A159" s="201" t="str">
        <f t="shared" si="41"/>
        <v>sábado</v>
      </c>
      <c r="B159" s="461"/>
      <c r="C159" s="461"/>
      <c r="D159" s="461"/>
      <c r="E159" s="461"/>
      <c r="F159" s="461"/>
      <c r="G159" s="461"/>
      <c r="H159" s="461"/>
      <c r="I159" s="461"/>
      <c r="J159" s="461"/>
      <c r="K159" s="461"/>
      <c r="L159" s="1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</row>
    <row r="160" spans="1:49" s="43" customFormat="1" ht="15" x14ac:dyDescent="0.25">
      <c r="A160" s="201" t="str">
        <f t="shared" si="41"/>
        <v>sábado</v>
      </c>
      <c r="B160" s="461"/>
      <c r="C160" s="461"/>
      <c r="D160" s="461"/>
      <c r="E160" s="461"/>
      <c r="F160" s="461"/>
      <c r="G160" s="461"/>
      <c r="H160" s="461"/>
      <c r="I160" s="461"/>
      <c r="J160" s="461"/>
      <c r="K160" s="461"/>
      <c r="L160" s="1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</row>
    <row r="161" spans="1:49" s="43" customFormat="1" ht="15" x14ac:dyDescent="0.25">
      <c r="A161" s="201" t="str">
        <f t="shared" si="41"/>
        <v>sábado</v>
      </c>
      <c r="B161" s="461"/>
      <c r="C161" s="461"/>
      <c r="D161" s="461"/>
      <c r="E161" s="461"/>
      <c r="F161" s="461"/>
      <c r="G161" s="461"/>
      <c r="H161" s="461"/>
      <c r="I161" s="461"/>
      <c r="J161" s="461"/>
      <c r="K161" s="461"/>
      <c r="L161" s="1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</row>
    <row r="162" spans="1:49" s="43" customFormat="1" ht="15" x14ac:dyDescent="0.25">
      <c r="A162" s="201" t="str">
        <f t="shared" si="41"/>
        <v>sábado</v>
      </c>
      <c r="B162" s="461"/>
      <c r="C162" s="461"/>
      <c r="D162" s="461"/>
      <c r="E162" s="461"/>
      <c r="F162" s="461"/>
      <c r="G162" s="461"/>
      <c r="H162" s="461"/>
      <c r="I162" s="461"/>
      <c r="J162" s="461"/>
      <c r="K162" s="461"/>
      <c r="L162" s="1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</row>
    <row r="163" spans="1:49" ht="15" x14ac:dyDescent="0.25">
      <c r="A163" s="201" t="str">
        <f t="shared" si="41"/>
        <v>sábado</v>
      </c>
      <c r="B163" s="461"/>
      <c r="C163" s="461"/>
      <c r="D163" s="461"/>
      <c r="E163" s="461"/>
      <c r="F163" s="461"/>
      <c r="G163" s="461"/>
      <c r="H163" s="461"/>
      <c r="I163" s="461"/>
      <c r="J163" s="461"/>
      <c r="K163" s="461"/>
      <c r="L163" s="1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</row>
    <row r="164" spans="1:49" s="43" customFormat="1" ht="15" x14ac:dyDescent="0.25">
      <c r="A164" s="201" t="str">
        <f t="shared" si="41"/>
        <v>sábado</v>
      </c>
      <c r="B164" s="461"/>
      <c r="C164" s="461"/>
      <c r="D164" s="461"/>
      <c r="E164" s="461"/>
      <c r="F164" s="461"/>
      <c r="G164" s="461"/>
      <c r="H164" s="461"/>
      <c r="I164" s="461"/>
      <c r="J164" s="461"/>
      <c r="K164" s="461"/>
      <c r="L164" s="1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</row>
    <row r="165" spans="1:49" s="43" customFormat="1" ht="15" x14ac:dyDescent="0.25">
      <c r="A165" s="201" t="str">
        <f t="shared" si="41"/>
        <v>sábado</v>
      </c>
      <c r="B165" s="461"/>
      <c r="C165" s="461"/>
      <c r="D165" s="461"/>
      <c r="E165" s="461"/>
      <c r="F165" s="461"/>
      <c r="G165" s="461"/>
      <c r="H165" s="461"/>
      <c r="I165" s="461"/>
      <c r="J165" s="461"/>
      <c r="K165" s="461"/>
      <c r="L165" s="1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</row>
    <row r="166" spans="1:49" s="43" customFormat="1" ht="15" x14ac:dyDescent="0.25">
      <c r="A166" s="201" t="str">
        <f t="shared" si="41"/>
        <v>sábado</v>
      </c>
      <c r="B166" s="461"/>
      <c r="C166" s="461"/>
      <c r="D166" s="461"/>
      <c r="E166" s="461"/>
      <c r="F166" s="461"/>
      <c r="G166" s="461"/>
      <c r="H166" s="461"/>
      <c r="I166" s="461"/>
      <c r="J166" s="461"/>
      <c r="K166" s="461"/>
      <c r="L166" s="1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</row>
    <row r="167" spans="1:49" s="43" customFormat="1" ht="15" x14ac:dyDescent="0.25">
      <c r="A167" s="201" t="str">
        <f t="shared" si="41"/>
        <v>sábado</v>
      </c>
      <c r="B167" s="461"/>
      <c r="C167" s="461"/>
      <c r="D167" s="461"/>
      <c r="E167" s="461"/>
      <c r="F167" s="461"/>
      <c r="G167" s="461"/>
      <c r="H167" s="461"/>
      <c r="I167" s="461"/>
      <c r="J167" s="461"/>
      <c r="K167" s="461"/>
      <c r="L167" s="1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</row>
    <row r="168" spans="1:49" s="43" customFormat="1" ht="15" x14ac:dyDescent="0.25">
      <c r="A168" s="201" t="str">
        <f t="shared" si="41"/>
        <v>sábado</v>
      </c>
      <c r="B168" s="461"/>
      <c r="C168" s="461"/>
      <c r="D168" s="461"/>
      <c r="E168" s="461"/>
      <c r="F168" s="461"/>
      <c r="G168" s="461"/>
      <c r="H168" s="461"/>
      <c r="I168" s="461"/>
      <c r="J168" s="461"/>
      <c r="K168" s="461"/>
      <c r="L168" s="1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</row>
    <row r="169" spans="1:49" s="43" customFormat="1" ht="15" x14ac:dyDescent="0.25">
      <c r="A169" s="201" t="str">
        <f t="shared" si="41"/>
        <v>sábado</v>
      </c>
      <c r="B169" s="461"/>
      <c r="C169" s="461"/>
      <c r="D169" s="461"/>
      <c r="E169" s="461"/>
      <c r="F169" s="461"/>
      <c r="G169" s="461"/>
      <c r="H169" s="461"/>
      <c r="I169" s="461"/>
      <c r="J169" s="461"/>
      <c r="K169" s="461"/>
      <c r="L169" s="1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</row>
    <row r="170" spans="1:49" s="43" customFormat="1" ht="15" x14ac:dyDescent="0.25">
      <c r="A170" s="201" t="str">
        <f t="shared" si="41"/>
        <v>sábado</v>
      </c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  <c r="L170" s="1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</row>
    <row r="171" spans="1:49" s="43" customFormat="1" ht="15" x14ac:dyDescent="0.25">
      <c r="A171" s="201" t="str">
        <f t="shared" si="41"/>
        <v>sábado</v>
      </c>
      <c r="B171" s="461"/>
      <c r="C171" s="461"/>
      <c r="D171" s="461"/>
      <c r="E171" s="461"/>
      <c r="F171" s="461"/>
      <c r="G171" s="461"/>
      <c r="H171" s="461"/>
      <c r="I171" s="461"/>
      <c r="J171" s="461"/>
      <c r="K171" s="461"/>
      <c r="L171" s="1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</row>
    <row r="172" spans="1:49" s="43" customFormat="1" ht="15" x14ac:dyDescent="0.25">
      <c r="A172" s="201" t="str">
        <f t="shared" si="41"/>
        <v>sábado</v>
      </c>
      <c r="B172" s="461"/>
      <c r="C172" s="461"/>
      <c r="D172" s="461"/>
      <c r="E172" s="461"/>
      <c r="F172" s="461"/>
      <c r="G172" s="461"/>
      <c r="H172" s="461"/>
      <c r="I172" s="461"/>
      <c r="J172" s="461"/>
      <c r="K172" s="461"/>
      <c r="L172" s="1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</row>
    <row r="173" spans="1:49" s="43" customFormat="1" ht="15" x14ac:dyDescent="0.25">
      <c r="A173" s="201" t="str">
        <f t="shared" si="41"/>
        <v>sábado</v>
      </c>
      <c r="B173" s="461"/>
      <c r="C173" s="461"/>
      <c r="D173" s="461"/>
      <c r="E173" s="461"/>
      <c r="F173" s="461"/>
      <c r="G173" s="461"/>
      <c r="H173" s="461"/>
      <c r="I173" s="461"/>
      <c r="J173" s="461"/>
      <c r="K173" s="461"/>
      <c r="L173" s="1"/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</row>
    <row r="174" spans="1:49" s="43" customFormat="1" ht="15" x14ac:dyDescent="0.25">
      <c r="A174" s="201" t="str">
        <f t="shared" si="41"/>
        <v>sábado</v>
      </c>
      <c r="B174" s="461"/>
      <c r="C174" s="461"/>
      <c r="D174" s="461"/>
      <c r="E174" s="461"/>
      <c r="F174" s="461"/>
      <c r="G174" s="461"/>
      <c r="H174" s="461"/>
      <c r="I174" s="461"/>
      <c r="J174" s="461"/>
      <c r="K174" s="461"/>
      <c r="L174" s="1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</row>
    <row r="175" spans="1:49" s="43" customFormat="1" ht="15" x14ac:dyDescent="0.25">
      <c r="A175" s="201" t="str">
        <f t="shared" si="41"/>
        <v>sábado</v>
      </c>
      <c r="B175" s="461"/>
      <c r="C175" s="461"/>
      <c r="D175" s="461"/>
      <c r="E175" s="461"/>
      <c r="F175" s="461"/>
      <c r="G175" s="461"/>
      <c r="H175" s="461"/>
      <c r="I175" s="461"/>
      <c r="J175" s="461"/>
      <c r="K175" s="461"/>
      <c r="L175" s="1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</row>
    <row r="176" spans="1:49" s="43" customFormat="1" ht="15" x14ac:dyDescent="0.25">
      <c r="A176" s="201" t="str">
        <f t="shared" si="41"/>
        <v>sábado</v>
      </c>
      <c r="B176" s="461"/>
      <c r="C176" s="461"/>
      <c r="D176" s="461"/>
      <c r="E176" s="461"/>
      <c r="F176" s="461"/>
      <c r="G176" s="461"/>
      <c r="H176" s="461"/>
      <c r="I176" s="461"/>
      <c r="J176" s="461"/>
      <c r="K176" s="461"/>
      <c r="L176" s="1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</row>
    <row r="177" spans="1:49" s="43" customFormat="1" ht="15" x14ac:dyDescent="0.25">
      <c r="A177" s="201" t="str">
        <f t="shared" si="41"/>
        <v>sábado</v>
      </c>
      <c r="B177" s="461"/>
      <c r="C177" s="461"/>
      <c r="D177" s="461"/>
      <c r="E177" s="461"/>
      <c r="F177" s="461"/>
      <c r="G177" s="461"/>
      <c r="H177" s="461"/>
      <c r="I177" s="461"/>
      <c r="J177" s="461"/>
      <c r="K177" s="461"/>
      <c r="L177" s="1"/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</row>
    <row r="178" spans="1:49" s="43" customFormat="1" ht="15" x14ac:dyDescent="0.25">
      <c r="A178" s="201" t="str">
        <f t="shared" si="41"/>
        <v>sábado</v>
      </c>
      <c r="B178" s="461"/>
      <c r="C178" s="461"/>
      <c r="D178" s="461"/>
      <c r="E178" s="461"/>
      <c r="F178" s="461"/>
      <c r="G178" s="461"/>
      <c r="H178" s="461"/>
      <c r="I178" s="461"/>
      <c r="J178" s="461"/>
      <c r="K178" s="461"/>
      <c r="L178" s="1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</row>
    <row r="179" spans="1:49" s="43" customFormat="1" ht="15" x14ac:dyDescent="0.25">
      <c r="A179" s="201" t="str">
        <f t="shared" si="41"/>
        <v>sábado</v>
      </c>
      <c r="B179" s="461"/>
      <c r="C179" s="461"/>
      <c r="D179" s="461"/>
      <c r="E179" s="461"/>
      <c r="F179" s="461"/>
      <c r="G179" s="461"/>
      <c r="H179" s="461"/>
      <c r="I179" s="461"/>
      <c r="J179" s="461"/>
      <c r="K179" s="461"/>
      <c r="L179" s="1"/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</row>
    <row r="180" spans="1:49" s="43" customFormat="1" ht="15" x14ac:dyDescent="0.25">
      <c r="A180" s="201" t="str">
        <f t="shared" si="41"/>
        <v>sábado</v>
      </c>
      <c r="B180" s="461"/>
      <c r="C180" s="461" t="s">
        <v>10</v>
      </c>
      <c r="D180" s="461"/>
      <c r="E180" s="461">
        <f>SUM(E9:E179)</f>
        <v>0</v>
      </c>
      <c r="F180" s="461"/>
      <c r="G180" s="461">
        <f>SUM(G9:G179)</f>
        <v>0</v>
      </c>
      <c r="H180" s="461">
        <f>SUM(H9:H179)</f>
        <v>0</v>
      </c>
      <c r="I180" s="461"/>
      <c r="J180" s="461"/>
      <c r="K180" s="461"/>
      <c r="L180" s="1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</row>
    <row r="181" spans="1:49" s="43" customFormat="1" ht="15" x14ac:dyDescent="0.25">
      <c r="A181" s="201" t="str">
        <f t="shared" si="41"/>
        <v>sábado</v>
      </c>
      <c r="B181" s="461"/>
      <c r="C181" s="461"/>
      <c r="D181" s="461"/>
      <c r="E181" s="461"/>
      <c r="F181" s="461"/>
      <c r="G181" s="461"/>
      <c r="H181" s="461"/>
      <c r="I181" s="461"/>
      <c r="J181" s="461"/>
      <c r="K181" s="461"/>
      <c r="L181" s="1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</row>
    <row r="182" spans="1:49" s="43" customFormat="1" ht="15" x14ac:dyDescent="0.25">
      <c r="A182" s="201" t="str">
        <f t="shared" si="41"/>
        <v>sábado</v>
      </c>
      <c r="B182" s="461"/>
      <c r="C182" s="461"/>
      <c r="D182" s="461"/>
      <c r="E182" s="461"/>
      <c r="F182" s="461"/>
      <c r="G182" s="461"/>
      <c r="H182" s="461"/>
      <c r="I182" s="461"/>
      <c r="J182" s="461"/>
      <c r="K182" s="461"/>
      <c r="L182" s="1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T182" s="198"/>
      <c r="AU182" s="198"/>
      <c r="AV182" s="198"/>
      <c r="AW182" s="198"/>
    </row>
    <row r="183" spans="1:49" s="43" customFormat="1" ht="15" x14ac:dyDescent="0.25">
      <c r="A183" s="201" t="str">
        <f t="shared" si="41"/>
        <v>sábado</v>
      </c>
      <c r="B183" s="461"/>
      <c r="C183" s="461"/>
      <c r="D183" s="461"/>
      <c r="E183" s="461"/>
      <c r="F183" s="461"/>
      <c r="G183" s="461"/>
      <c r="H183" s="461"/>
      <c r="I183" s="461"/>
      <c r="J183" s="461"/>
      <c r="K183" s="461"/>
      <c r="L183" s="1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</row>
    <row r="184" spans="1:49" s="43" customFormat="1" ht="15" x14ac:dyDescent="0.25">
      <c r="A184" s="201" t="str">
        <f t="shared" si="41"/>
        <v>sábado</v>
      </c>
      <c r="B184" s="461"/>
      <c r="C184" s="461"/>
      <c r="D184" s="461"/>
      <c r="E184" s="461"/>
      <c r="F184" s="461"/>
      <c r="G184" s="461"/>
      <c r="H184" s="461"/>
      <c r="I184" s="461"/>
      <c r="J184" s="461"/>
      <c r="K184" s="461"/>
      <c r="L184" s="1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</row>
    <row r="185" spans="1:49" s="43" customFormat="1" ht="15" x14ac:dyDescent="0.25">
      <c r="A185" s="201" t="str">
        <f t="shared" si="41"/>
        <v>sábado</v>
      </c>
      <c r="B185" s="461"/>
      <c r="C185" s="461"/>
      <c r="D185" s="461"/>
      <c r="E185" s="461"/>
      <c r="F185" s="461"/>
      <c r="G185" s="461"/>
      <c r="H185" s="461"/>
      <c r="I185" s="461"/>
      <c r="J185" s="461"/>
      <c r="K185" s="461"/>
      <c r="L185" s="1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</row>
    <row r="186" spans="1:49" s="43" customFormat="1" ht="15" x14ac:dyDescent="0.25">
      <c r="A186" s="201" t="str">
        <f t="shared" si="41"/>
        <v>sábado</v>
      </c>
      <c r="B186" s="461"/>
      <c r="C186" s="461"/>
      <c r="D186" s="461"/>
      <c r="E186" s="461"/>
      <c r="F186" s="461"/>
      <c r="G186" s="461"/>
      <c r="H186" s="461"/>
      <c r="I186" s="461"/>
      <c r="J186" s="461"/>
      <c r="K186" s="461"/>
      <c r="L186" s="1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</row>
    <row r="187" spans="1:49" s="43" customFormat="1" ht="15" x14ac:dyDescent="0.25">
      <c r="A187" s="201" t="str">
        <f t="shared" si="41"/>
        <v>sábado</v>
      </c>
      <c r="B187" s="461"/>
      <c r="C187" s="461"/>
      <c r="D187" s="461"/>
      <c r="E187" s="461"/>
      <c r="F187" s="461"/>
      <c r="G187" s="461"/>
      <c r="H187" s="461"/>
      <c r="I187" s="461"/>
      <c r="J187" s="461"/>
      <c r="K187" s="461"/>
      <c r="L187" s="1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</row>
    <row r="188" spans="1:49" s="43" customFormat="1" ht="15" x14ac:dyDescent="0.25">
      <c r="A188" s="201" t="str">
        <f t="shared" si="41"/>
        <v>sábado</v>
      </c>
      <c r="B188" s="461"/>
      <c r="C188" s="461"/>
      <c r="D188" s="461"/>
      <c r="E188" s="461"/>
      <c r="F188" s="461"/>
      <c r="G188" s="461"/>
      <c r="H188" s="461"/>
      <c r="I188" s="461"/>
      <c r="J188" s="461"/>
      <c r="K188" s="461"/>
      <c r="L188" s="1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</row>
    <row r="189" spans="1:49" s="43" customFormat="1" ht="15" x14ac:dyDescent="0.25">
      <c r="A189" s="201" t="str">
        <f t="shared" si="41"/>
        <v>sábado</v>
      </c>
      <c r="B189" s="461"/>
      <c r="C189" s="461"/>
      <c r="D189" s="461"/>
      <c r="E189" s="461"/>
      <c r="F189" s="461"/>
      <c r="G189" s="461"/>
      <c r="H189" s="461"/>
      <c r="I189" s="461"/>
      <c r="J189" s="461"/>
      <c r="K189" s="461"/>
      <c r="L189" s="1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</row>
    <row r="190" spans="1:49" s="43" customFormat="1" ht="15" x14ac:dyDescent="0.25">
      <c r="A190" s="201" t="str">
        <f t="shared" si="41"/>
        <v>sábado</v>
      </c>
      <c r="B190" s="461"/>
      <c r="C190" s="461"/>
      <c r="D190" s="461"/>
      <c r="E190" s="461"/>
      <c r="F190" s="461"/>
      <c r="G190" s="461"/>
      <c r="H190" s="461"/>
      <c r="I190" s="461"/>
      <c r="J190" s="461"/>
      <c r="K190" s="461"/>
      <c r="L190" s="1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</row>
    <row r="191" spans="1:49" s="43" customFormat="1" ht="15" x14ac:dyDescent="0.25">
      <c r="A191" s="201" t="str">
        <f t="shared" si="41"/>
        <v>sábado</v>
      </c>
      <c r="B191" s="461"/>
      <c r="C191" s="461"/>
      <c r="D191" s="461"/>
      <c r="E191" s="461"/>
      <c r="F191" s="461"/>
      <c r="G191" s="461"/>
      <c r="H191" s="461"/>
      <c r="I191" s="461"/>
      <c r="J191" s="461"/>
      <c r="K191" s="461"/>
      <c r="L191" s="1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</row>
    <row r="192" spans="1:49" s="43" customFormat="1" ht="15" x14ac:dyDescent="0.25">
      <c r="A192" s="201" t="str">
        <f t="shared" si="41"/>
        <v>sábado</v>
      </c>
      <c r="B192" s="461"/>
      <c r="C192" s="461"/>
      <c r="D192" s="461"/>
      <c r="E192" s="461"/>
      <c r="F192" s="461"/>
      <c r="G192" s="461"/>
      <c r="H192" s="461"/>
      <c r="I192" s="461"/>
      <c r="J192" s="461"/>
      <c r="K192" s="461"/>
      <c r="L192" s="1"/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</row>
    <row r="193" spans="1:49" s="43" customFormat="1" ht="15" x14ac:dyDescent="0.25">
      <c r="A193" s="201" t="str">
        <f t="shared" si="41"/>
        <v>sábado</v>
      </c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  <c r="L193" s="1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  <c r="AT193" s="198"/>
      <c r="AU193" s="198"/>
      <c r="AV193" s="198"/>
      <c r="AW193" s="198"/>
    </row>
    <row r="194" spans="1:49" s="43" customFormat="1" ht="15" x14ac:dyDescent="0.25">
      <c r="A194" s="201" t="str">
        <f t="shared" si="41"/>
        <v>sábado</v>
      </c>
      <c r="B194" s="461"/>
      <c r="C194" s="461"/>
      <c r="D194" s="461"/>
      <c r="E194" s="461"/>
      <c r="F194" s="461"/>
      <c r="G194" s="461"/>
      <c r="H194" s="461"/>
      <c r="I194" s="461"/>
      <c r="J194" s="461"/>
      <c r="K194" s="461"/>
      <c r="L194" s="1"/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</row>
    <row r="195" spans="1:49" s="43" customFormat="1" ht="15" x14ac:dyDescent="0.25">
      <c r="A195" s="201" t="str">
        <f t="shared" si="41"/>
        <v>sábado</v>
      </c>
      <c r="B195" s="461"/>
      <c r="C195" s="461"/>
      <c r="D195" s="461"/>
      <c r="E195" s="461"/>
      <c r="F195" s="461"/>
      <c r="G195" s="461"/>
      <c r="H195" s="461"/>
      <c r="I195" s="461"/>
      <c r="J195" s="461"/>
      <c r="K195" s="461"/>
      <c r="L195" s="1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</row>
    <row r="196" spans="1:49" s="43" customFormat="1" ht="15" x14ac:dyDescent="0.25">
      <c r="A196" s="201" t="str">
        <f t="shared" si="41"/>
        <v>sábado</v>
      </c>
      <c r="B196" s="461"/>
      <c r="C196" s="461"/>
      <c r="D196" s="461"/>
      <c r="E196" s="461"/>
      <c r="F196" s="461"/>
      <c r="G196" s="461"/>
      <c r="H196" s="461"/>
      <c r="I196" s="461"/>
      <c r="J196" s="461"/>
      <c r="K196" s="461"/>
      <c r="L196" s="1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</row>
    <row r="197" spans="1:49" s="43" customFormat="1" ht="15" x14ac:dyDescent="0.25">
      <c r="A197" s="201" t="str">
        <f t="shared" si="41"/>
        <v>sábado</v>
      </c>
      <c r="B197" s="461"/>
      <c r="C197" s="461"/>
      <c r="D197" s="461"/>
      <c r="E197" s="461"/>
      <c r="F197" s="461"/>
      <c r="G197" s="461"/>
      <c r="H197" s="461"/>
      <c r="I197" s="461"/>
      <c r="J197" s="461"/>
      <c r="K197" s="461"/>
      <c r="L197" s="1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98"/>
      <c r="AU197" s="198"/>
      <c r="AV197" s="198"/>
      <c r="AW197" s="198"/>
    </row>
    <row r="198" spans="1:49" s="43" customFormat="1" ht="15" x14ac:dyDescent="0.25">
      <c r="A198" s="201" t="str">
        <f t="shared" si="41"/>
        <v>sábado</v>
      </c>
      <c r="B198" s="461"/>
      <c r="C198" s="461"/>
      <c r="D198" s="461"/>
      <c r="E198" s="461"/>
      <c r="F198" s="461"/>
      <c r="G198" s="461"/>
      <c r="H198" s="461"/>
      <c r="I198" s="461"/>
      <c r="J198" s="461"/>
      <c r="K198" s="461"/>
      <c r="L198" s="1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  <c r="AT198" s="198"/>
      <c r="AU198" s="198"/>
      <c r="AV198" s="198"/>
      <c r="AW198" s="198"/>
    </row>
    <row r="199" spans="1:49" s="43" customFormat="1" ht="15" x14ac:dyDescent="0.25">
      <c r="A199" s="201" t="str">
        <f t="shared" si="41"/>
        <v>sábado</v>
      </c>
      <c r="B199" s="461"/>
      <c r="C199" s="461"/>
      <c r="D199" s="461"/>
      <c r="E199" s="461"/>
      <c r="F199" s="461"/>
      <c r="G199" s="461"/>
      <c r="H199" s="461"/>
      <c r="I199" s="461"/>
      <c r="J199" s="461"/>
      <c r="K199" s="461"/>
      <c r="L199" s="1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  <c r="AT199" s="198"/>
      <c r="AU199" s="198"/>
      <c r="AV199" s="198"/>
      <c r="AW199" s="198"/>
    </row>
    <row r="200" spans="1:49" s="43" customFormat="1" ht="15" x14ac:dyDescent="0.25">
      <c r="A200" s="201" t="str">
        <f t="shared" si="41"/>
        <v>sábado</v>
      </c>
      <c r="B200" s="461"/>
      <c r="C200" s="461"/>
      <c r="D200" s="461"/>
      <c r="E200" s="461"/>
      <c r="F200" s="461"/>
      <c r="G200" s="461"/>
      <c r="H200" s="461"/>
      <c r="I200" s="461"/>
      <c r="J200" s="461"/>
      <c r="K200" s="461"/>
      <c r="L200" s="1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  <c r="AT200" s="198"/>
      <c r="AU200" s="198"/>
      <c r="AV200" s="198"/>
      <c r="AW200" s="198"/>
    </row>
    <row r="201" spans="1:49" s="43" customFormat="1" ht="15" x14ac:dyDescent="0.25">
      <c r="A201" s="201" t="str">
        <f t="shared" si="41"/>
        <v>sábado</v>
      </c>
      <c r="B201" s="461"/>
      <c r="C201" s="461"/>
      <c r="D201" s="461"/>
      <c r="E201" s="461"/>
      <c r="F201" s="461"/>
      <c r="G201" s="461"/>
      <c r="H201" s="461"/>
      <c r="I201" s="461"/>
      <c r="J201" s="461"/>
      <c r="K201" s="461"/>
      <c r="L201" s="1"/>
      <c r="M201" s="198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  <c r="AT201" s="198"/>
      <c r="AU201" s="198"/>
      <c r="AV201" s="198"/>
      <c r="AW201" s="198"/>
    </row>
    <row r="202" spans="1:49" s="43" customFormat="1" ht="15" x14ac:dyDescent="0.25">
      <c r="A202" s="201" t="str">
        <f t="shared" si="41"/>
        <v>sábado</v>
      </c>
      <c r="B202" s="461"/>
      <c r="C202" s="461"/>
      <c r="D202" s="461"/>
      <c r="E202" s="461"/>
      <c r="F202" s="461"/>
      <c r="G202" s="461"/>
      <c r="H202" s="461"/>
      <c r="I202" s="461"/>
      <c r="J202" s="461"/>
      <c r="K202" s="461"/>
      <c r="L202" s="1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</row>
    <row r="203" spans="1:49" s="43" customFormat="1" ht="15" x14ac:dyDescent="0.25">
      <c r="A203" s="201" t="str">
        <f t="shared" ref="A203:A208" si="42">+TEXT(B202,"dddd")</f>
        <v>sábado</v>
      </c>
      <c r="B203" s="461"/>
      <c r="C203" s="461"/>
      <c r="D203" s="461"/>
      <c r="E203" s="461"/>
      <c r="F203" s="461"/>
      <c r="G203" s="461"/>
      <c r="H203" s="461"/>
      <c r="I203" s="461"/>
      <c r="J203" s="461"/>
      <c r="K203" s="461"/>
      <c r="L203" s="1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</row>
    <row r="204" spans="1:49" s="43" customFormat="1" ht="15" x14ac:dyDescent="0.25">
      <c r="A204" s="201" t="str">
        <f t="shared" si="42"/>
        <v>sábado</v>
      </c>
      <c r="B204" s="461"/>
      <c r="C204" s="461"/>
      <c r="D204" s="461"/>
      <c r="E204" s="461"/>
      <c r="F204" s="461"/>
      <c r="G204" s="461"/>
      <c r="H204" s="461"/>
      <c r="I204" s="461"/>
      <c r="J204" s="461"/>
      <c r="K204" s="461"/>
      <c r="L204" s="1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</row>
    <row r="205" spans="1:49" s="43" customFormat="1" ht="15" x14ac:dyDescent="0.25">
      <c r="A205" s="201" t="str">
        <f t="shared" si="42"/>
        <v>sábado</v>
      </c>
      <c r="B205" s="461"/>
      <c r="C205" s="461"/>
      <c r="D205" s="461"/>
      <c r="E205" s="461"/>
      <c r="F205" s="461"/>
      <c r="G205" s="461"/>
      <c r="H205" s="461"/>
      <c r="I205" s="461"/>
      <c r="J205" s="461"/>
      <c r="K205" s="461"/>
      <c r="L205" s="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</row>
    <row r="206" spans="1:49" s="43" customFormat="1" ht="15" x14ac:dyDescent="0.25">
      <c r="A206" s="201" t="str">
        <f t="shared" si="42"/>
        <v>sábado</v>
      </c>
      <c r="B206" s="461"/>
      <c r="C206" s="461"/>
      <c r="D206" s="461"/>
      <c r="E206" s="461"/>
      <c r="F206" s="461"/>
      <c r="G206" s="461"/>
      <c r="H206" s="461"/>
      <c r="I206" s="461"/>
      <c r="J206" s="461"/>
      <c r="K206" s="461"/>
      <c r="L206" s="1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</row>
    <row r="207" spans="1:49" s="43" customFormat="1" ht="15" x14ac:dyDescent="0.25">
      <c r="A207" s="201" t="str">
        <f t="shared" si="42"/>
        <v>sábado</v>
      </c>
      <c r="B207" s="461"/>
      <c r="C207" s="461"/>
      <c r="D207" s="461"/>
      <c r="E207" s="461"/>
      <c r="F207" s="461"/>
      <c r="G207" s="461"/>
      <c r="H207" s="461"/>
      <c r="I207" s="461"/>
      <c r="J207" s="461"/>
      <c r="K207" s="461"/>
      <c r="L207" s="1"/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  <c r="AT207" s="198"/>
      <c r="AU207" s="198"/>
      <c r="AV207" s="198"/>
      <c r="AW207" s="198"/>
    </row>
    <row r="208" spans="1:49" s="43" customFormat="1" ht="15" x14ac:dyDescent="0.25">
      <c r="A208" s="201" t="str">
        <f t="shared" si="42"/>
        <v>sábado</v>
      </c>
      <c r="B208" s="461"/>
      <c r="C208" s="461"/>
      <c r="D208" s="461"/>
      <c r="E208" s="461"/>
      <c r="F208" s="461"/>
      <c r="G208" s="461"/>
      <c r="H208" s="461"/>
      <c r="I208" s="461"/>
      <c r="J208" s="461"/>
      <c r="K208" s="461"/>
      <c r="L208" s="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  <c r="AT208" s="198"/>
      <c r="AU208" s="198"/>
      <c r="AV208" s="198"/>
      <c r="AW208" s="198"/>
    </row>
    <row r="209" spans="2:49" s="43" customFormat="1" ht="15" x14ac:dyDescent="0.25"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  <c r="L209" s="1"/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  <c r="AT209" s="198"/>
      <c r="AU209" s="198"/>
      <c r="AV209" s="198"/>
      <c r="AW209" s="198"/>
    </row>
    <row r="210" spans="2:49" s="43" customFormat="1" ht="15" x14ac:dyDescent="0.25">
      <c r="B210" s="461"/>
      <c r="C210" s="461"/>
      <c r="D210" s="461"/>
      <c r="E210" s="461"/>
      <c r="F210" s="461"/>
      <c r="G210" s="461"/>
      <c r="H210" s="461"/>
      <c r="I210" s="461"/>
      <c r="J210" s="461"/>
      <c r="K210" s="461"/>
      <c r="L210" s="1"/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</row>
    <row r="211" spans="2:49" s="43" customFormat="1" ht="15" x14ac:dyDescent="0.25">
      <c r="B211" s="461"/>
      <c r="C211" s="461"/>
      <c r="D211" s="461"/>
      <c r="E211" s="461"/>
      <c r="F211" s="461"/>
      <c r="G211" s="461"/>
      <c r="H211" s="461"/>
      <c r="I211" s="461"/>
      <c r="J211" s="461"/>
      <c r="K211" s="461"/>
      <c r="L211" s="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  <c r="AT211" s="198"/>
      <c r="AU211" s="198"/>
      <c r="AV211" s="198"/>
      <c r="AW211" s="198"/>
    </row>
    <row r="212" spans="2:49" s="43" customFormat="1" ht="15" x14ac:dyDescent="0.25">
      <c r="B212" s="461"/>
      <c r="C212" s="461"/>
      <c r="D212" s="461"/>
      <c r="E212" s="461"/>
      <c r="F212" s="461"/>
      <c r="G212" s="461"/>
      <c r="H212" s="461"/>
      <c r="I212" s="461"/>
      <c r="J212" s="461"/>
      <c r="K212" s="461"/>
      <c r="L212" s="1"/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  <c r="AT212" s="198"/>
      <c r="AU212" s="198"/>
      <c r="AV212" s="198"/>
      <c r="AW212" s="198"/>
    </row>
    <row r="213" spans="2:49" s="43" customFormat="1" ht="15" x14ac:dyDescent="0.25">
      <c r="B213" s="461"/>
      <c r="C213" s="461"/>
      <c r="D213" s="461"/>
      <c r="E213" s="461"/>
      <c r="F213" s="461"/>
      <c r="G213" s="461"/>
      <c r="H213" s="461"/>
      <c r="I213" s="461"/>
      <c r="J213" s="461"/>
      <c r="K213" s="461"/>
      <c r="L213" s="1"/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</row>
    <row r="214" spans="2:49" s="43" customFormat="1" ht="15" x14ac:dyDescent="0.25">
      <c r="B214" s="461"/>
      <c r="C214" s="461"/>
      <c r="D214" s="461"/>
      <c r="E214" s="461"/>
      <c r="F214" s="461"/>
      <c r="G214" s="461"/>
      <c r="H214" s="461"/>
      <c r="I214" s="461"/>
      <c r="J214" s="461"/>
      <c r="K214" s="461"/>
      <c r="L214" s="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  <c r="AT214" s="198"/>
      <c r="AU214" s="198"/>
      <c r="AV214" s="198"/>
      <c r="AW214" s="198"/>
    </row>
    <row r="215" spans="2:49" s="43" customFormat="1" ht="15" x14ac:dyDescent="0.25">
      <c r="B215" s="461"/>
      <c r="C215" s="461"/>
      <c r="D215" s="461"/>
      <c r="E215" s="461"/>
      <c r="F215" s="461"/>
      <c r="G215" s="461"/>
      <c r="H215" s="461"/>
      <c r="I215" s="461"/>
      <c r="J215" s="461"/>
      <c r="K215" s="461"/>
      <c r="L215" s="1"/>
      <c r="M215" s="198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</row>
    <row r="216" spans="2:49" s="43" customFormat="1" ht="15" x14ac:dyDescent="0.25">
      <c r="B216" s="461"/>
      <c r="C216" s="461"/>
      <c r="D216" s="461"/>
      <c r="E216" s="461"/>
      <c r="F216" s="461"/>
      <c r="G216" s="461"/>
      <c r="H216" s="461"/>
      <c r="I216" s="461"/>
      <c r="J216" s="461"/>
      <c r="K216" s="461"/>
      <c r="L216" s="1"/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</row>
    <row r="217" spans="2:49" s="43" customFormat="1" ht="15" x14ac:dyDescent="0.25">
      <c r="B217" s="461"/>
      <c r="C217" s="461"/>
      <c r="D217" s="461"/>
      <c r="E217" s="461"/>
      <c r="F217" s="461"/>
      <c r="G217" s="461"/>
      <c r="H217" s="461"/>
      <c r="I217" s="461"/>
      <c r="J217" s="461"/>
      <c r="K217" s="461"/>
      <c r="L217" s="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</row>
    <row r="218" spans="2:49" s="43" customFormat="1" ht="15" x14ac:dyDescent="0.25">
      <c r="B218" s="461"/>
      <c r="C218" s="461"/>
      <c r="D218" s="461"/>
      <c r="E218" s="461"/>
      <c r="F218" s="461"/>
      <c r="G218" s="461"/>
      <c r="H218" s="461"/>
      <c r="I218" s="461"/>
      <c r="J218" s="461"/>
      <c r="K218" s="461"/>
      <c r="L218" s="1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</row>
    <row r="219" spans="2:49" s="43" customFormat="1" ht="15" x14ac:dyDescent="0.25">
      <c r="B219" s="461"/>
      <c r="C219" s="461"/>
      <c r="D219" s="461"/>
      <c r="E219" s="461"/>
      <c r="F219" s="461"/>
      <c r="G219" s="461"/>
      <c r="H219" s="461"/>
      <c r="I219" s="461"/>
      <c r="J219" s="461"/>
      <c r="K219" s="461"/>
      <c r="L219" s="1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</row>
    <row r="220" spans="2:49" s="43" customFormat="1" ht="15" x14ac:dyDescent="0.25">
      <c r="B220" s="461"/>
      <c r="C220" s="461"/>
      <c r="D220" s="461"/>
      <c r="E220" s="461"/>
      <c r="F220" s="461"/>
      <c r="G220" s="461"/>
      <c r="H220" s="461"/>
      <c r="I220" s="461"/>
      <c r="J220" s="461"/>
      <c r="K220" s="461"/>
      <c r="L220" s="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</row>
    <row r="221" spans="2:49" s="43" customFormat="1" ht="15" x14ac:dyDescent="0.25">
      <c r="B221" s="461"/>
      <c r="C221" s="461"/>
      <c r="D221" s="461"/>
      <c r="E221" s="461"/>
      <c r="F221" s="461"/>
      <c r="G221" s="461"/>
      <c r="H221" s="461"/>
      <c r="I221" s="461"/>
      <c r="J221" s="461"/>
      <c r="K221" s="461"/>
      <c r="L221" s="1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</row>
    <row r="222" spans="2:49" s="43" customFormat="1" ht="15" x14ac:dyDescent="0.25">
      <c r="B222" s="461"/>
      <c r="C222" s="461"/>
      <c r="D222" s="461"/>
      <c r="E222" s="461"/>
      <c r="F222" s="461"/>
      <c r="G222" s="461"/>
      <c r="H222" s="461"/>
      <c r="I222" s="461"/>
      <c r="J222" s="461"/>
      <c r="K222" s="461"/>
      <c r="L222" s="1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</row>
    <row r="223" spans="2:49" s="43" customFormat="1" ht="15" x14ac:dyDescent="0.25">
      <c r="B223" s="461"/>
      <c r="C223" s="461"/>
      <c r="D223" s="461"/>
      <c r="E223" s="461"/>
      <c r="F223" s="461"/>
      <c r="G223" s="461"/>
      <c r="H223" s="461"/>
      <c r="I223" s="461"/>
      <c r="J223" s="461"/>
      <c r="K223" s="461"/>
      <c r="L223" s="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</row>
    <row r="224" spans="2:49" s="43" customFormat="1" ht="15" x14ac:dyDescent="0.25">
      <c r="B224" s="461"/>
      <c r="C224" s="461"/>
      <c r="D224" s="461"/>
      <c r="E224" s="461"/>
      <c r="F224" s="461"/>
      <c r="G224" s="461"/>
      <c r="H224" s="461"/>
      <c r="I224" s="461"/>
      <c r="J224" s="461"/>
      <c r="K224" s="461"/>
      <c r="L224" s="1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</row>
    <row r="225" spans="2:49" s="43" customFormat="1" ht="15" x14ac:dyDescent="0.25">
      <c r="B225" s="461"/>
      <c r="C225" s="461"/>
      <c r="D225" s="461"/>
      <c r="E225" s="461"/>
      <c r="F225" s="461"/>
      <c r="G225" s="461"/>
      <c r="H225" s="461"/>
      <c r="I225" s="461"/>
      <c r="J225" s="461"/>
      <c r="K225" s="461"/>
      <c r="L225" s="1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</row>
    <row r="226" spans="2:49" s="43" customFormat="1" ht="15" x14ac:dyDescent="0.25">
      <c r="B226" s="461"/>
      <c r="C226" s="461"/>
      <c r="D226" s="461"/>
      <c r="E226" s="461"/>
      <c r="F226" s="461"/>
      <c r="G226" s="461"/>
      <c r="H226" s="461"/>
      <c r="I226" s="461"/>
      <c r="J226" s="461"/>
      <c r="K226" s="461"/>
      <c r="L226" s="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</row>
    <row r="227" spans="2:49" s="43" customFormat="1" ht="15" x14ac:dyDescent="0.25">
      <c r="B227" s="461"/>
      <c r="C227" s="461"/>
      <c r="D227" s="461"/>
      <c r="E227" s="461"/>
      <c r="F227" s="461"/>
      <c r="G227" s="461"/>
      <c r="H227" s="461"/>
      <c r="I227" s="461"/>
      <c r="J227" s="461"/>
      <c r="K227" s="461"/>
      <c r="L227" s="1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2:49" s="43" customFormat="1" ht="15" x14ac:dyDescent="0.25">
      <c r="B228" s="461"/>
      <c r="C228" s="461"/>
      <c r="D228" s="461"/>
      <c r="E228" s="461"/>
      <c r="F228" s="461"/>
      <c r="G228" s="461"/>
      <c r="H228" s="461"/>
      <c r="I228" s="461"/>
      <c r="J228" s="461"/>
      <c r="K228" s="461"/>
      <c r="L228" s="1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2:49" s="43" customFormat="1" ht="15" x14ac:dyDescent="0.25">
      <c r="B229" s="461"/>
      <c r="C229" s="461"/>
      <c r="D229" s="461"/>
      <c r="E229" s="461"/>
      <c r="F229" s="461"/>
      <c r="G229" s="461"/>
      <c r="H229" s="461"/>
      <c r="I229" s="461"/>
      <c r="J229" s="461"/>
      <c r="K229" s="461"/>
      <c r="L229" s="1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2:49" s="43" customFormat="1" ht="15" x14ac:dyDescent="0.25">
      <c r="B230" s="461"/>
      <c r="C230" s="461"/>
      <c r="D230" s="461"/>
      <c r="E230" s="461"/>
      <c r="F230" s="461"/>
      <c r="G230" s="461"/>
      <c r="H230" s="461"/>
      <c r="I230" s="461"/>
      <c r="J230" s="461"/>
      <c r="K230" s="461"/>
      <c r="L230" s="1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2:49" s="43" customFormat="1" ht="15" x14ac:dyDescent="0.25">
      <c r="B231" s="461"/>
      <c r="C231" s="461"/>
      <c r="D231" s="461"/>
      <c r="E231" s="461"/>
      <c r="F231" s="461"/>
      <c r="G231" s="461"/>
      <c r="H231" s="461"/>
      <c r="I231" s="461"/>
      <c r="J231" s="461"/>
      <c r="K231" s="461"/>
      <c r="L231" s="1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</row>
    <row r="232" spans="2:49" s="43" customFormat="1" ht="15" x14ac:dyDescent="0.25">
      <c r="B232" s="461"/>
      <c r="C232" s="461"/>
      <c r="D232" s="461"/>
      <c r="E232" s="461"/>
      <c r="F232" s="461"/>
      <c r="G232" s="461"/>
      <c r="H232" s="461"/>
      <c r="I232" s="461"/>
      <c r="J232" s="461"/>
      <c r="K232" s="461"/>
      <c r="L232" s="1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</row>
    <row r="233" spans="2:49" s="43" customFormat="1" ht="15" x14ac:dyDescent="0.25">
      <c r="B233" s="461"/>
      <c r="C233" s="461"/>
      <c r="D233" s="461"/>
      <c r="E233" s="461"/>
      <c r="F233" s="461"/>
      <c r="G233" s="461"/>
      <c r="H233" s="461"/>
      <c r="I233" s="461"/>
      <c r="J233" s="461"/>
      <c r="K233" s="461"/>
      <c r="L233" s="1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</row>
    <row r="234" spans="2:49" s="43" customFormat="1" ht="15" x14ac:dyDescent="0.25">
      <c r="B234" s="461"/>
      <c r="C234" s="461"/>
      <c r="D234" s="461"/>
      <c r="E234" s="461"/>
      <c r="F234" s="461"/>
      <c r="G234" s="461"/>
      <c r="H234" s="461"/>
      <c r="I234" s="461"/>
      <c r="J234" s="461"/>
      <c r="K234" s="461"/>
      <c r="L234" s="1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</row>
    <row r="235" spans="2:49" s="43" customFormat="1" ht="15" x14ac:dyDescent="0.25">
      <c r="B235" s="463"/>
      <c r="C235" s="461"/>
      <c r="D235" s="461"/>
      <c r="E235" s="461"/>
      <c r="F235" s="461"/>
      <c r="G235" s="461"/>
      <c r="H235" s="461"/>
      <c r="I235" s="461"/>
      <c r="J235" s="461"/>
      <c r="K235" s="461"/>
      <c r="L235" s="1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</row>
    <row r="236" spans="2:49" s="43" customFormat="1" ht="15" x14ac:dyDescent="0.25">
      <c r="B236" s="463"/>
      <c r="C236" s="450"/>
      <c r="D236" s="450"/>
      <c r="E236" s="451"/>
      <c r="F236" s="451"/>
      <c r="G236" s="449"/>
      <c r="H236" s="449"/>
      <c r="I236" s="451"/>
      <c r="J236" s="454"/>
      <c r="K236" s="461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</row>
    <row r="237" spans="2:49" s="43" customFormat="1" ht="15" x14ac:dyDescent="0.25">
      <c r="B237" s="463"/>
      <c r="C237" s="450"/>
      <c r="D237" s="450"/>
      <c r="E237" s="451"/>
      <c r="F237" s="451"/>
      <c r="G237" s="449"/>
      <c r="H237" s="449"/>
      <c r="I237" s="451"/>
      <c r="J237" s="454"/>
      <c r="K237" s="461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</row>
    <row r="238" spans="2:49" s="43" customFormat="1" ht="15" x14ac:dyDescent="0.25">
      <c r="B238" s="463"/>
      <c r="C238" s="450"/>
      <c r="D238" s="450"/>
      <c r="E238" s="451"/>
      <c r="F238" s="451"/>
      <c r="G238" s="449"/>
      <c r="H238" s="449"/>
      <c r="I238" s="451"/>
      <c r="J238" s="454"/>
      <c r="K238" s="461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2:49" s="43" customFormat="1" ht="15" x14ac:dyDescent="0.25">
      <c r="B239" s="463"/>
      <c r="C239" s="450"/>
      <c r="D239" s="450"/>
      <c r="E239" s="451"/>
      <c r="F239" s="451"/>
      <c r="G239" s="449"/>
      <c r="H239" s="449"/>
      <c r="I239" s="451"/>
      <c r="J239" s="454"/>
      <c r="K239" s="461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2:49" s="43" customFormat="1" ht="15" x14ac:dyDescent="0.25">
      <c r="B240" s="463"/>
      <c r="C240" s="450"/>
      <c r="D240" s="450"/>
      <c r="E240" s="451"/>
      <c r="F240" s="451"/>
      <c r="G240" s="449"/>
      <c r="H240" s="449"/>
      <c r="I240" s="451"/>
      <c r="J240" s="454"/>
      <c r="K240" s="461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2:48" s="43" customFormat="1" ht="15" x14ac:dyDescent="0.25">
      <c r="B241" s="463"/>
      <c r="C241" s="450"/>
      <c r="D241" s="450"/>
      <c r="E241" s="451"/>
      <c r="F241" s="451"/>
      <c r="G241" s="449"/>
      <c r="H241" s="449"/>
      <c r="I241" s="451"/>
      <c r="J241" s="454"/>
      <c r="K241" s="461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</row>
    <row r="242" spans="2:48" s="43" customFormat="1" ht="15" x14ac:dyDescent="0.25">
      <c r="B242" s="463"/>
      <c r="C242" s="450"/>
      <c r="D242" s="450"/>
      <c r="E242" s="451"/>
      <c r="F242" s="451"/>
      <c r="G242" s="449"/>
      <c r="H242" s="449"/>
      <c r="I242" s="451"/>
      <c r="J242" s="454"/>
      <c r="K242" s="461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2:48" s="43" customFormat="1" ht="15" x14ac:dyDescent="0.25">
      <c r="B243" s="463"/>
      <c r="C243" s="450"/>
      <c r="D243" s="450"/>
      <c r="E243" s="451"/>
      <c r="F243" s="451"/>
      <c r="G243" s="449"/>
      <c r="H243" s="449"/>
      <c r="I243" s="451"/>
      <c r="J243" s="454"/>
      <c r="K243" s="461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</row>
    <row r="244" spans="2:48" s="43" customFormat="1" ht="15" x14ac:dyDescent="0.25">
      <c r="B244" s="463"/>
      <c r="C244" s="450"/>
      <c r="D244" s="450"/>
      <c r="E244" s="451"/>
      <c r="F244" s="451"/>
      <c r="G244" s="449"/>
      <c r="H244" s="449"/>
      <c r="I244" s="451"/>
      <c r="J244" s="454"/>
      <c r="K244" s="461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</row>
    <row r="245" spans="2:48" s="43" customFormat="1" ht="15" x14ac:dyDescent="0.25">
      <c r="B245" s="463"/>
      <c r="C245" s="450"/>
      <c r="D245" s="450"/>
      <c r="E245" s="451"/>
      <c r="F245" s="451"/>
      <c r="G245" s="449"/>
      <c r="H245" s="449"/>
      <c r="I245" s="451"/>
      <c r="J245" s="454"/>
      <c r="K245" s="461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</row>
    <row r="246" spans="2:48" s="43" customFormat="1" ht="15" x14ac:dyDescent="0.25">
      <c r="B246" s="463"/>
      <c r="C246" s="450"/>
      <c r="D246" s="450"/>
      <c r="E246" s="451"/>
      <c r="F246" s="451"/>
      <c r="G246" s="449"/>
      <c r="H246" s="449"/>
      <c r="I246" s="451"/>
      <c r="J246" s="454"/>
      <c r="K246" s="461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</row>
    <row r="247" spans="2:48" s="43" customFormat="1" ht="15" x14ac:dyDescent="0.25">
      <c r="B247" s="463"/>
      <c r="C247" s="450"/>
      <c r="D247" s="450"/>
      <c r="E247" s="451"/>
      <c r="F247" s="451"/>
      <c r="G247" s="451"/>
      <c r="H247" s="451"/>
      <c r="I247" s="451"/>
      <c r="J247" s="454"/>
      <c r="K247" s="461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</row>
    <row r="248" spans="2:48" s="43" customFormat="1" ht="15" x14ac:dyDescent="0.25">
      <c r="B248" s="463"/>
      <c r="C248" s="450"/>
      <c r="D248" s="450"/>
      <c r="E248" s="451"/>
      <c r="F248" s="451"/>
      <c r="G248" s="449"/>
      <c r="H248" s="449"/>
      <c r="I248" s="451"/>
      <c r="J248" s="454"/>
      <c r="K248" s="461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</row>
    <row r="249" spans="2:48" s="43" customFormat="1" ht="15" x14ac:dyDescent="0.25">
      <c r="B249" s="463"/>
      <c r="C249" s="450"/>
      <c r="D249" s="450"/>
      <c r="E249" s="451"/>
      <c r="F249" s="451"/>
      <c r="G249" s="449"/>
      <c r="H249" s="449"/>
      <c r="I249" s="451"/>
      <c r="J249" s="454"/>
      <c r="K249" s="461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</row>
    <row r="250" spans="2:48" s="43" customFormat="1" ht="15" x14ac:dyDescent="0.25">
      <c r="B250" s="463"/>
      <c r="C250" s="450"/>
      <c r="D250" s="450"/>
      <c r="E250" s="451"/>
      <c r="F250" s="451"/>
      <c r="G250" s="449"/>
      <c r="H250" s="449"/>
      <c r="I250" s="451"/>
      <c r="J250" s="454"/>
      <c r="K250" s="461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</row>
    <row r="251" spans="2:48" s="43" customFormat="1" ht="15" x14ac:dyDescent="0.25">
      <c r="B251" s="463"/>
      <c r="C251" s="450"/>
      <c r="D251" s="450"/>
      <c r="E251" s="451"/>
      <c r="F251" s="451"/>
      <c r="G251" s="449"/>
      <c r="H251" s="449"/>
      <c r="I251" s="451"/>
      <c r="J251" s="454"/>
      <c r="K251" s="461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</row>
    <row r="252" spans="2:48" s="43" customFormat="1" ht="15" x14ac:dyDescent="0.25">
      <c r="B252" s="463"/>
      <c r="C252" s="450"/>
      <c r="D252" s="450"/>
      <c r="E252" s="451"/>
      <c r="F252" s="451"/>
      <c r="G252" s="449"/>
      <c r="H252" s="449"/>
      <c r="I252" s="451"/>
      <c r="J252" s="454"/>
      <c r="K252" s="461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</row>
    <row r="253" spans="2:48" s="43" customFormat="1" ht="15" x14ac:dyDescent="0.25">
      <c r="B253" s="463"/>
      <c r="C253" s="450"/>
      <c r="D253" s="450"/>
      <c r="E253" s="451"/>
      <c r="F253" s="451"/>
      <c r="G253" s="449"/>
      <c r="H253" s="449"/>
      <c r="I253" s="451"/>
      <c r="J253" s="454"/>
      <c r="K253" s="461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</row>
    <row r="254" spans="2:48" s="43" customFormat="1" ht="15" x14ac:dyDescent="0.25">
      <c r="B254" s="463"/>
      <c r="C254" s="450"/>
      <c r="D254" s="450"/>
      <c r="E254" s="451"/>
      <c r="F254" s="451"/>
      <c r="G254" s="449"/>
      <c r="H254" s="449"/>
      <c r="I254" s="451"/>
      <c r="J254" s="454"/>
      <c r="K254" s="461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</row>
    <row r="255" spans="2:48" s="43" customFormat="1" ht="15" x14ac:dyDescent="0.25">
      <c r="B255" s="463"/>
      <c r="C255" s="450"/>
      <c r="D255" s="450"/>
      <c r="E255" s="451"/>
      <c r="F255" s="451"/>
      <c r="G255" s="449"/>
      <c r="H255" s="449"/>
      <c r="I255" s="451"/>
      <c r="J255" s="454"/>
      <c r="K255" s="461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</row>
    <row r="256" spans="2:48" s="43" customFormat="1" ht="15" x14ac:dyDescent="0.25">
      <c r="B256" s="463"/>
      <c r="C256" s="450"/>
      <c r="D256" s="450"/>
      <c r="E256" s="451"/>
      <c r="F256" s="451"/>
      <c r="G256" s="449"/>
      <c r="H256" s="449"/>
      <c r="I256" s="451"/>
      <c r="J256" s="454"/>
      <c r="K256" s="461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</row>
    <row r="257" spans="2:48" s="43" customFormat="1" ht="15" x14ac:dyDescent="0.25">
      <c r="B257" s="463"/>
      <c r="C257" s="450"/>
      <c r="D257" s="450"/>
      <c r="E257" s="451"/>
      <c r="F257" s="451"/>
      <c r="G257" s="449"/>
      <c r="H257" s="449"/>
      <c r="I257" s="451"/>
      <c r="J257" s="454"/>
      <c r="K257" s="461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</row>
    <row r="258" spans="2:48" s="43" customFormat="1" ht="15" x14ac:dyDescent="0.25">
      <c r="B258" s="463"/>
      <c r="C258" s="450"/>
      <c r="D258" s="450"/>
      <c r="E258" s="451"/>
      <c r="F258" s="451"/>
      <c r="G258" s="449"/>
      <c r="H258" s="449"/>
      <c r="I258" s="451"/>
      <c r="J258" s="454"/>
      <c r="K258" s="461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</row>
    <row r="259" spans="2:48" s="43" customFormat="1" ht="15" x14ac:dyDescent="0.25">
      <c r="B259" s="463"/>
      <c r="C259" s="450"/>
      <c r="D259" s="450"/>
      <c r="E259" s="451"/>
      <c r="F259" s="451"/>
      <c r="G259" s="449"/>
      <c r="H259" s="449"/>
      <c r="I259" s="451"/>
      <c r="J259" s="454"/>
      <c r="K259" s="461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</row>
    <row r="260" spans="2:48" s="43" customFormat="1" ht="15" x14ac:dyDescent="0.25">
      <c r="B260" s="463"/>
      <c r="C260" s="450"/>
      <c r="D260" s="450"/>
      <c r="E260" s="451"/>
      <c r="F260" s="451"/>
      <c r="G260" s="449"/>
      <c r="H260" s="449"/>
      <c r="I260" s="451"/>
      <c r="J260" s="454"/>
      <c r="K260" s="461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</row>
    <row r="261" spans="2:48" s="43" customFormat="1" ht="15" x14ac:dyDescent="0.25">
      <c r="B261" s="463"/>
      <c r="C261" s="450"/>
      <c r="D261" s="450"/>
      <c r="E261" s="451"/>
      <c r="F261" s="451"/>
      <c r="G261" s="449"/>
      <c r="H261" s="449"/>
      <c r="I261" s="451"/>
      <c r="J261" s="454"/>
      <c r="K261" s="461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</row>
    <row r="262" spans="2:48" s="43" customFormat="1" ht="15" x14ac:dyDescent="0.25">
      <c r="B262" s="463"/>
      <c r="C262" s="450"/>
      <c r="D262" s="450"/>
      <c r="E262" s="451"/>
      <c r="F262" s="451"/>
      <c r="G262" s="449"/>
      <c r="H262" s="449"/>
      <c r="I262" s="451"/>
      <c r="J262" s="454"/>
      <c r="K262" s="461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</row>
    <row r="263" spans="2:48" s="43" customFormat="1" ht="15" x14ac:dyDescent="0.25">
      <c r="B263" s="463"/>
      <c r="C263" s="450"/>
      <c r="D263" s="450"/>
      <c r="E263" s="451"/>
      <c r="F263" s="451"/>
      <c r="G263" s="449"/>
      <c r="H263" s="449"/>
      <c r="I263" s="451"/>
      <c r="J263" s="454"/>
      <c r="K263" s="461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</row>
    <row r="264" spans="2:48" s="43" customFormat="1" ht="15" x14ac:dyDescent="0.25">
      <c r="B264" s="463"/>
      <c r="C264" s="450"/>
      <c r="D264" s="450"/>
      <c r="E264" s="451"/>
      <c r="F264" s="451"/>
      <c r="G264" s="449"/>
      <c r="H264" s="449"/>
      <c r="I264" s="451"/>
      <c r="J264" s="454"/>
      <c r="K264" s="461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</row>
    <row r="265" spans="2:48" s="43" customFormat="1" ht="15" x14ac:dyDescent="0.25">
      <c r="B265" s="463"/>
      <c r="C265" s="450"/>
      <c r="D265" s="450"/>
      <c r="E265" s="451"/>
      <c r="F265" s="451"/>
      <c r="G265" s="449"/>
      <c r="H265" s="449"/>
      <c r="I265" s="451"/>
      <c r="J265" s="454"/>
      <c r="K265" s="461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</row>
    <row r="266" spans="2:48" s="43" customFormat="1" ht="15" x14ac:dyDescent="0.25">
      <c r="B266" s="463"/>
      <c r="C266" s="450"/>
      <c r="D266" s="450"/>
      <c r="E266" s="451"/>
      <c r="F266" s="451"/>
      <c r="G266" s="449"/>
      <c r="H266" s="449"/>
      <c r="I266" s="451"/>
      <c r="J266" s="454"/>
      <c r="K266" s="461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</row>
    <row r="267" spans="2:48" s="43" customFormat="1" ht="15" x14ac:dyDescent="0.25">
      <c r="B267" s="463"/>
      <c r="C267" s="450"/>
      <c r="D267" s="450"/>
      <c r="E267" s="451"/>
      <c r="F267" s="451"/>
      <c r="G267" s="449"/>
      <c r="H267" s="449"/>
      <c r="I267" s="451"/>
      <c r="J267" s="454"/>
      <c r="K267" s="461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</row>
    <row r="268" spans="2:48" s="43" customFormat="1" ht="15" x14ac:dyDescent="0.25">
      <c r="B268" s="463"/>
      <c r="C268" s="450"/>
      <c r="D268" s="450"/>
      <c r="E268" s="451"/>
      <c r="F268" s="451"/>
      <c r="G268" s="449"/>
      <c r="H268" s="449"/>
      <c r="I268" s="451"/>
      <c r="J268" s="454"/>
      <c r="K268" s="461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</row>
    <row r="269" spans="2:48" s="43" customFormat="1" ht="15" x14ac:dyDescent="0.25">
      <c r="B269" s="463"/>
      <c r="C269" s="450"/>
      <c r="D269" s="450"/>
      <c r="E269" s="451"/>
      <c r="F269" s="451"/>
      <c r="G269" s="449"/>
      <c r="H269" s="449"/>
      <c r="I269" s="451"/>
      <c r="J269" s="454"/>
      <c r="K269" s="461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</row>
    <row r="270" spans="2:48" s="43" customFormat="1" ht="15" x14ac:dyDescent="0.25">
      <c r="B270" s="463"/>
      <c r="C270" s="450"/>
      <c r="D270" s="450"/>
      <c r="E270" s="451"/>
      <c r="F270" s="451"/>
      <c r="G270" s="449"/>
      <c r="H270" s="449"/>
      <c r="I270" s="451"/>
      <c r="J270" s="454"/>
      <c r="K270" s="461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</row>
    <row r="271" spans="2:48" s="43" customFormat="1" ht="15" x14ac:dyDescent="0.25">
      <c r="B271" s="463"/>
      <c r="C271" s="450"/>
      <c r="D271" s="450"/>
      <c r="E271" s="451"/>
      <c r="F271" s="451"/>
      <c r="G271" s="449"/>
      <c r="H271" s="449"/>
      <c r="I271" s="451"/>
      <c r="J271" s="454"/>
      <c r="K271" s="461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</row>
    <row r="272" spans="2:48" ht="15" x14ac:dyDescent="0.25">
      <c r="B272" s="463"/>
      <c r="C272" s="450"/>
      <c r="D272" s="450"/>
      <c r="E272" s="451"/>
      <c r="F272" s="451"/>
      <c r="G272" s="449"/>
      <c r="H272" s="449"/>
      <c r="I272" s="451"/>
      <c r="J272" s="454"/>
      <c r="K272" s="461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</row>
    <row r="273" spans="1:48" ht="15" x14ac:dyDescent="0.25">
      <c r="B273" s="463"/>
      <c r="C273" s="450"/>
      <c r="D273" s="450"/>
      <c r="E273" s="451"/>
      <c r="F273" s="451"/>
      <c r="G273" s="449"/>
      <c r="H273" s="449"/>
      <c r="I273" s="451"/>
      <c r="J273" s="454"/>
      <c r="K273" s="461"/>
    </row>
    <row r="274" spans="1:48" ht="15" x14ac:dyDescent="0.25">
      <c r="B274" s="463"/>
      <c r="C274" s="450"/>
      <c r="D274" s="450"/>
      <c r="E274" s="451"/>
      <c r="F274" s="451"/>
      <c r="G274" s="449"/>
      <c r="H274" s="449"/>
      <c r="I274" s="451"/>
      <c r="J274" s="454"/>
      <c r="K274" s="461"/>
    </row>
    <row r="275" spans="1:48" ht="15" x14ac:dyDescent="0.25">
      <c r="B275" s="463"/>
      <c r="C275" s="450"/>
      <c r="D275" s="450"/>
      <c r="E275" s="451"/>
      <c r="F275" s="451"/>
      <c r="G275" s="449"/>
      <c r="H275" s="449"/>
      <c r="I275" s="451"/>
      <c r="J275" s="454"/>
      <c r="K275" s="461"/>
    </row>
    <row r="276" spans="1:48" s="27" customFormat="1" ht="15" x14ac:dyDescent="0.25">
      <c r="A276" s="43"/>
      <c r="B276" s="463"/>
      <c r="C276" s="450"/>
      <c r="D276" s="450"/>
      <c r="E276" s="451"/>
      <c r="F276" s="451"/>
      <c r="G276" s="449"/>
      <c r="H276" s="449"/>
      <c r="I276" s="451"/>
      <c r="J276" s="454"/>
      <c r="K276" s="461"/>
      <c r="L276" s="43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43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</row>
    <row r="277" spans="1:48" ht="15" x14ac:dyDescent="0.25">
      <c r="C277" s="450"/>
      <c r="D277" s="450"/>
      <c r="E277" s="451"/>
      <c r="F277" s="451"/>
      <c r="G277" s="449"/>
      <c r="H277" s="449"/>
      <c r="I277" s="451"/>
      <c r="J277" s="454"/>
      <c r="K277" s="461"/>
    </row>
    <row r="278" spans="1:48" x14ac:dyDescent="0.2">
      <c r="C278" s="46"/>
      <c r="D278" s="46"/>
      <c r="E278" s="45"/>
      <c r="F278" s="45"/>
      <c r="G278" s="54"/>
      <c r="H278" s="90"/>
      <c r="J278" s="10"/>
      <c r="K278" s="1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</row>
    <row r="279" spans="1:48" x14ac:dyDescent="0.2">
      <c r="C279" s="46"/>
      <c r="D279" s="46"/>
      <c r="E279" s="45"/>
      <c r="F279" s="45"/>
      <c r="G279" s="54"/>
      <c r="H279" s="90"/>
      <c r="J279" s="10"/>
      <c r="K279" s="1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</row>
    <row r="280" spans="1:48" x14ac:dyDescent="0.2">
      <c r="C280" s="46"/>
      <c r="D280" s="46"/>
      <c r="E280" s="45"/>
      <c r="F280" s="45"/>
      <c r="G280" s="54"/>
      <c r="H280" s="90"/>
      <c r="J280" s="10"/>
      <c r="K280" s="1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x14ac:dyDescent="0.2">
      <c r="C281" s="46"/>
      <c r="D281" s="46"/>
      <c r="E281" s="45"/>
      <c r="F281" s="45"/>
      <c r="G281" s="54"/>
      <c r="H281" s="90"/>
      <c r="J281" s="10"/>
      <c r="K281" s="1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</row>
    <row r="282" spans="1:48" x14ac:dyDescent="0.2">
      <c r="C282" s="46"/>
      <c r="D282" s="46"/>
      <c r="E282" s="45"/>
      <c r="F282" s="45"/>
      <c r="G282" s="54"/>
      <c r="H282" s="90"/>
      <c r="J282" s="10"/>
      <c r="K282" s="1"/>
    </row>
    <row r="283" spans="1:48" x14ac:dyDescent="0.2">
      <c r="C283" s="75"/>
      <c r="D283" s="66"/>
      <c r="E283" s="68"/>
      <c r="F283" s="67"/>
      <c r="G283" s="68"/>
      <c r="H283" s="68"/>
      <c r="I283" s="75"/>
      <c r="J283" s="46"/>
      <c r="K283" s="1"/>
    </row>
    <row r="284" spans="1:48" x14ac:dyDescent="0.2">
      <c r="C284" s="75"/>
      <c r="D284" s="66"/>
      <c r="E284" s="68"/>
      <c r="F284" s="67"/>
      <c r="G284" s="68"/>
      <c r="H284" s="68"/>
      <c r="I284" s="76"/>
      <c r="J284" s="46"/>
      <c r="K284" s="1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</row>
    <row r="285" spans="1:48" s="43" customFormat="1" x14ac:dyDescent="0.2">
      <c r="B285" s="3"/>
      <c r="C285" s="46"/>
      <c r="D285" s="46"/>
      <c r="E285" s="45"/>
      <c r="F285" s="45"/>
      <c r="G285" s="54"/>
      <c r="H285" s="90"/>
      <c r="I285" s="45"/>
      <c r="J285" s="10"/>
      <c r="K285" s="1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</row>
    <row r="286" spans="1:48" s="43" customFormat="1" x14ac:dyDescent="0.2">
      <c r="B286" s="3"/>
      <c r="C286" s="46"/>
      <c r="D286" s="46"/>
      <c r="E286" s="45"/>
      <c r="F286" s="45"/>
      <c r="G286" s="45"/>
      <c r="H286" s="85"/>
      <c r="I286" s="45"/>
      <c r="J286" s="10"/>
      <c r="K286" s="1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</row>
    <row r="287" spans="1:48" s="43" customFormat="1" x14ac:dyDescent="0.2">
      <c r="B287" s="3"/>
      <c r="C287" s="46"/>
      <c r="D287" s="46"/>
      <c r="E287" s="45"/>
      <c r="F287" s="45"/>
      <c r="G287" s="54"/>
      <c r="H287" s="90"/>
      <c r="I287" s="45"/>
      <c r="J287" s="10"/>
      <c r="K287" s="1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</row>
    <row r="288" spans="1:48" s="43" customFormat="1" x14ac:dyDescent="0.2">
      <c r="B288" s="3"/>
      <c r="C288" s="46"/>
      <c r="D288" s="46"/>
      <c r="E288" s="45"/>
      <c r="F288" s="45"/>
      <c r="G288" s="54"/>
      <c r="H288" s="90"/>
      <c r="I288" s="45"/>
      <c r="J288" s="10"/>
      <c r="K288" s="1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</row>
    <row r="289" spans="2:48" s="43" customFormat="1" x14ac:dyDescent="0.2">
      <c r="B289" s="3"/>
      <c r="C289" s="46"/>
      <c r="D289" s="46"/>
      <c r="E289" s="45"/>
      <c r="F289" s="45"/>
      <c r="G289" s="45"/>
      <c r="H289" s="85"/>
      <c r="I289" s="45"/>
      <c r="J289" s="44"/>
      <c r="K289" s="1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</row>
    <row r="290" spans="2:48" x14ac:dyDescent="0.2">
      <c r="C290" s="46"/>
      <c r="D290" s="46"/>
      <c r="E290" s="45"/>
      <c r="F290" s="45"/>
      <c r="G290" s="54"/>
      <c r="H290" s="90"/>
      <c r="J290" s="10"/>
      <c r="K290" s="1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</row>
    <row r="291" spans="2:48" s="43" customFormat="1" x14ac:dyDescent="0.2">
      <c r="B291" s="3"/>
      <c r="C291" s="46"/>
      <c r="D291" s="46"/>
      <c r="E291" s="45"/>
      <c r="F291" s="45"/>
      <c r="G291" s="45"/>
      <c r="H291" s="85"/>
      <c r="I291" s="45"/>
      <c r="J291" s="10"/>
      <c r="K291" s="1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</row>
    <row r="292" spans="2:48" s="43" customFormat="1" x14ac:dyDescent="0.2">
      <c r="B292" s="3"/>
      <c r="C292" s="46"/>
      <c r="D292" s="46"/>
      <c r="E292" s="45"/>
      <c r="F292" s="45"/>
      <c r="G292" s="45"/>
      <c r="H292" s="85"/>
      <c r="I292" s="45"/>
      <c r="J292" s="44"/>
      <c r="K292" s="1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</row>
    <row r="293" spans="2:48" s="43" customFormat="1" x14ac:dyDescent="0.2">
      <c r="B293" s="28"/>
      <c r="C293" s="46"/>
      <c r="D293" s="46"/>
      <c r="E293" s="45"/>
      <c r="F293" s="45"/>
      <c r="G293" s="54"/>
      <c r="H293" s="90"/>
      <c r="I293" s="45"/>
      <c r="J293" s="44"/>
      <c r="K293" s="1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2:48" s="43" customFormat="1" x14ac:dyDescent="0.2">
      <c r="B294" s="5"/>
      <c r="C294" s="48"/>
      <c r="D294" s="51"/>
      <c r="E294" s="47"/>
      <c r="F294" s="45"/>
      <c r="G294" s="65"/>
      <c r="H294" s="65"/>
      <c r="I294" s="45"/>
      <c r="J294" s="44"/>
      <c r="K294" s="1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</row>
    <row r="295" spans="2:48" s="43" customFormat="1" x14ac:dyDescent="0.2">
      <c r="B295" s="3"/>
      <c r="C295" s="46"/>
      <c r="D295" s="46"/>
      <c r="E295" s="45"/>
      <c r="F295" s="45"/>
      <c r="G295" s="45"/>
      <c r="H295" s="85"/>
      <c r="I295" s="45"/>
      <c r="J295" s="44"/>
      <c r="K295" s="1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</row>
    <row r="296" spans="2:48" x14ac:dyDescent="0.2">
      <c r="C296" s="46"/>
      <c r="D296" s="46"/>
      <c r="E296" s="45"/>
      <c r="F296" s="45"/>
      <c r="G296" s="53"/>
      <c r="H296" s="53"/>
      <c r="J296" s="44"/>
      <c r="K296" s="1"/>
    </row>
    <row r="297" spans="2:48" s="43" customFormat="1" x14ac:dyDescent="0.2">
      <c r="B297" s="3"/>
      <c r="C297" s="46"/>
      <c r="D297" s="23"/>
      <c r="E297" s="45"/>
      <c r="F297" s="45"/>
      <c r="G297" s="49"/>
      <c r="H297" s="49"/>
      <c r="I297" s="45"/>
      <c r="J297" s="44"/>
      <c r="K297" s="1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</row>
    <row r="298" spans="2:48" s="43" customFormat="1" x14ac:dyDescent="0.2">
      <c r="B298" s="3"/>
      <c r="C298" s="46"/>
      <c r="D298" s="46"/>
      <c r="E298" s="45"/>
      <c r="F298" s="45"/>
      <c r="G298" s="54"/>
      <c r="H298" s="90"/>
      <c r="I298" s="45"/>
      <c r="J298" s="44"/>
      <c r="K298" s="1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2:48" s="43" customFormat="1" x14ac:dyDescent="0.2">
      <c r="B299" s="3"/>
      <c r="C299" s="46"/>
      <c r="D299" s="46"/>
      <c r="E299" s="49"/>
      <c r="F299" s="45"/>
      <c r="G299" s="49"/>
      <c r="H299" s="49"/>
      <c r="I299" s="45"/>
      <c r="J299" s="44"/>
      <c r="K299" s="1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</row>
    <row r="300" spans="2:48" s="43" customFormat="1" x14ac:dyDescent="0.2">
      <c r="B300" s="3"/>
      <c r="C300" s="46"/>
      <c r="D300" s="46"/>
      <c r="E300" s="45"/>
      <c r="F300" s="45"/>
      <c r="G300" s="49"/>
      <c r="H300" s="49"/>
      <c r="I300" s="45"/>
      <c r="J300" s="44"/>
      <c r="K300" s="1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</row>
    <row r="301" spans="2:48" x14ac:dyDescent="0.2">
      <c r="C301" s="46"/>
      <c r="D301" s="46"/>
      <c r="E301" s="45"/>
      <c r="F301" s="45"/>
      <c r="G301" s="49"/>
      <c r="H301" s="49"/>
      <c r="J301" s="10"/>
      <c r="K301" s="1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</row>
    <row r="302" spans="2:48" s="43" customFormat="1" x14ac:dyDescent="0.2">
      <c r="B302" s="3"/>
      <c r="C302" s="46"/>
      <c r="D302" s="51"/>
      <c r="E302" s="49"/>
      <c r="F302" s="45"/>
      <c r="G302" s="54"/>
      <c r="H302" s="90"/>
      <c r="I302" s="45"/>
      <c r="J302" s="10"/>
      <c r="K302" s="1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2:48" s="43" customFormat="1" x14ac:dyDescent="0.2">
      <c r="B303" s="3"/>
      <c r="C303" s="46"/>
      <c r="D303" s="46"/>
      <c r="E303" s="45"/>
      <c r="F303" s="45"/>
      <c r="G303" s="54"/>
      <c r="H303" s="90"/>
      <c r="I303" s="45"/>
      <c r="J303" s="10"/>
      <c r="K303" s="1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2:48" s="43" customFormat="1" x14ac:dyDescent="0.2">
      <c r="B304" s="3"/>
      <c r="C304" s="46"/>
      <c r="D304" s="51"/>
      <c r="E304" s="45"/>
      <c r="F304" s="45"/>
      <c r="G304" s="54"/>
      <c r="H304" s="90"/>
      <c r="I304" s="45"/>
      <c r="J304" s="10"/>
      <c r="K304" s="1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</row>
    <row r="305" spans="2:48" s="43" customFormat="1" x14ac:dyDescent="0.2">
      <c r="B305" s="3"/>
      <c r="C305" s="40"/>
      <c r="D305" s="40"/>
      <c r="E305" s="39"/>
      <c r="F305" s="39"/>
      <c r="G305" s="41"/>
      <c r="H305" s="49"/>
      <c r="I305" s="45"/>
      <c r="J305" s="10"/>
      <c r="K305" s="1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2:48" s="43" customFormat="1" x14ac:dyDescent="0.2">
      <c r="B306" s="3"/>
      <c r="C306" s="46"/>
      <c r="D306" s="46"/>
      <c r="E306" s="45"/>
      <c r="F306" s="45"/>
      <c r="G306" s="49"/>
      <c r="H306" s="49"/>
      <c r="I306" s="45"/>
      <c r="J306" s="10"/>
      <c r="K306" s="1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</row>
    <row r="307" spans="2:48" s="43" customFormat="1" x14ac:dyDescent="0.2">
      <c r="B307" s="3"/>
      <c r="C307" s="46"/>
      <c r="D307" s="46"/>
      <c r="E307" s="49"/>
      <c r="F307" s="45"/>
      <c r="G307" s="54"/>
      <c r="H307" s="90"/>
      <c r="I307" s="45"/>
      <c r="J307" s="44"/>
      <c r="K307" s="1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</row>
    <row r="308" spans="2:48" s="43" customFormat="1" x14ac:dyDescent="0.2">
      <c r="B308" s="3"/>
      <c r="C308" s="46"/>
      <c r="D308" s="46"/>
      <c r="E308" s="45"/>
      <c r="F308" s="45"/>
      <c r="G308" s="45"/>
      <c r="H308" s="85"/>
      <c r="I308" s="45"/>
      <c r="J308" s="44"/>
      <c r="K308" s="1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</row>
    <row r="309" spans="2:48" s="43" customFormat="1" x14ac:dyDescent="0.2">
      <c r="B309" s="3"/>
      <c r="C309" s="46"/>
      <c r="D309" s="46"/>
      <c r="E309" s="49"/>
      <c r="F309" s="45"/>
      <c r="G309" s="54"/>
      <c r="H309" s="90"/>
      <c r="I309" s="45"/>
      <c r="J309" s="44"/>
      <c r="K309" s="1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</row>
    <row r="310" spans="2:48" s="43" customFormat="1" ht="15" x14ac:dyDescent="0.25">
      <c r="B310" s="3"/>
      <c r="C310" s="46"/>
      <c r="D310" s="46"/>
      <c r="E310" s="49"/>
      <c r="F310" s="45"/>
      <c r="G310" s="49"/>
      <c r="H310" s="49"/>
      <c r="I310" s="45"/>
      <c r="J310" s="44"/>
      <c r="K310" s="1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</row>
    <row r="311" spans="2:48" s="43" customFormat="1" x14ac:dyDescent="0.2">
      <c r="B311" s="3"/>
      <c r="C311" s="46"/>
      <c r="D311" s="46"/>
      <c r="E311" s="5"/>
      <c r="F311" s="5"/>
      <c r="G311" s="5"/>
      <c r="H311" s="85"/>
      <c r="I311" s="45"/>
      <c r="J311" s="44"/>
      <c r="K311" s="1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</row>
    <row r="312" spans="2:48" s="43" customFormat="1" x14ac:dyDescent="0.2">
      <c r="B312" s="3"/>
      <c r="C312" s="46"/>
      <c r="D312" s="46"/>
      <c r="E312" s="45"/>
      <c r="F312" s="45"/>
      <c r="G312" s="45"/>
      <c r="H312" s="85"/>
      <c r="I312" s="45"/>
      <c r="J312" s="10"/>
      <c r="K312" s="1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</row>
    <row r="313" spans="2:48" s="43" customFormat="1" x14ac:dyDescent="0.2">
      <c r="B313" s="3"/>
      <c r="C313" s="46"/>
      <c r="D313" s="46"/>
      <c r="E313" s="45"/>
      <c r="F313" s="45"/>
      <c r="G313" s="49"/>
      <c r="H313" s="49"/>
      <c r="I313" s="45"/>
      <c r="J313" s="10"/>
      <c r="K313" s="1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</row>
    <row r="314" spans="2:48" s="43" customFormat="1" x14ac:dyDescent="0.2">
      <c r="B314" s="3"/>
      <c r="C314" s="46"/>
      <c r="D314" s="46"/>
      <c r="E314" s="49"/>
      <c r="F314" s="45"/>
      <c r="G314" s="49"/>
      <c r="H314" s="49"/>
      <c r="I314" s="45"/>
      <c r="J314" s="44"/>
      <c r="K314" s="1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</row>
    <row r="315" spans="2:48" s="43" customFormat="1" x14ac:dyDescent="0.2">
      <c r="B315" s="3"/>
      <c r="C315" s="46"/>
      <c r="D315" s="46"/>
      <c r="E315" s="49"/>
      <c r="F315" s="45"/>
      <c r="G315" s="54"/>
      <c r="H315" s="90"/>
      <c r="I315" s="45"/>
      <c r="J315" s="44"/>
      <c r="K315" s="1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</row>
    <row r="316" spans="2:48" s="43" customFormat="1" x14ac:dyDescent="0.2">
      <c r="B316" s="3"/>
      <c r="C316" s="46"/>
      <c r="D316" s="23"/>
      <c r="E316" s="45"/>
      <c r="F316" s="45"/>
      <c r="G316" s="49"/>
      <c r="H316" s="49"/>
      <c r="I316" s="45"/>
      <c r="J316" s="44"/>
      <c r="K316" s="1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</row>
    <row r="317" spans="2:48" s="43" customFormat="1" x14ac:dyDescent="0.2">
      <c r="B317" s="3"/>
      <c r="C317" s="46"/>
      <c r="D317" s="46"/>
      <c r="E317" s="45"/>
      <c r="F317" s="45"/>
      <c r="G317" s="45"/>
      <c r="H317" s="85"/>
      <c r="I317" s="45"/>
      <c r="J317" s="44"/>
      <c r="K317" s="1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</row>
    <row r="318" spans="2:48" s="43" customFormat="1" x14ac:dyDescent="0.2">
      <c r="B318" s="3"/>
      <c r="C318" s="46"/>
      <c r="D318" s="46"/>
      <c r="E318" s="45"/>
      <c r="F318" s="45"/>
      <c r="G318" s="54"/>
      <c r="H318" s="90"/>
      <c r="I318" s="45"/>
      <c r="J318" s="10"/>
      <c r="K318" s="1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</row>
    <row r="319" spans="2:48" s="43" customFormat="1" x14ac:dyDescent="0.2">
      <c r="B319" s="3"/>
      <c r="C319" s="46"/>
      <c r="D319" s="46"/>
      <c r="E319" s="45"/>
      <c r="F319" s="45"/>
      <c r="G319" s="49"/>
      <c r="H319" s="49"/>
      <c r="I319" s="45"/>
      <c r="J319" s="10"/>
      <c r="K319" s="1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</row>
    <row r="320" spans="2:48" s="43" customFormat="1" x14ac:dyDescent="0.2">
      <c r="B320" s="3"/>
      <c r="C320" s="46"/>
      <c r="D320" s="46"/>
      <c r="E320" s="49"/>
      <c r="F320" s="45"/>
      <c r="G320" s="54"/>
      <c r="H320" s="90"/>
      <c r="I320" s="45"/>
      <c r="J320" s="44"/>
      <c r="K320" s="1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</row>
    <row r="321" spans="2:48" s="43" customFormat="1" x14ac:dyDescent="0.2">
      <c r="B321" s="3"/>
      <c r="C321" s="46"/>
      <c r="D321" s="46"/>
      <c r="E321" s="45"/>
      <c r="F321" s="45"/>
      <c r="G321" s="49"/>
      <c r="H321" s="49"/>
      <c r="I321" s="45"/>
      <c r="J321" s="10"/>
      <c r="K321" s="1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</row>
    <row r="322" spans="2:48" s="43" customFormat="1" x14ac:dyDescent="0.2">
      <c r="B322" s="3"/>
      <c r="C322" s="46"/>
      <c r="D322" s="46"/>
      <c r="E322" s="5"/>
      <c r="F322" s="5"/>
      <c r="G322" s="5"/>
      <c r="H322" s="85"/>
      <c r="I322" s="45"/>
      <c r="J322" s="10"/>
      <c r="K322" s="1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</row>
    <row r="323" spans="2:48" s="43" customFormat="1" x14ac:dyDescent="0.2">
      <c r="B323" s="3"/>
      <c r="C323" s="46"/>
      <c r="D323" s="46"/>
      <c r="E323" s="45"/>
      <c r="F323" s="45"/>
      <c r="G323" s="49"/>
      <c r="H323" s="49"/>
      <c r="I323" s="45"/>
      <c r="J323" s="10"/>
      <c r="K323" s="1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2:48" s="43" customFormat="1" x14ac:dyDescent="0.2">
      <c r="B324" s="3"/>
      <c r="C324" s="46"/>
      <c r="D324" s="46"/>
      <c r="E324" s="45"/>
      <c r="F324" s="45"/>
      <c r="G324" s="54"/>
      <c r="H324" s="90"/>
      <c r="I324" s="45"/>
      <c r="J324" s="10"/>
      <c r="K324" s="1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</row>
    <row r="325" spans="2:48" s="43" customFormat="1" x14ac:dyDescent="0.2">
      <c r="B325" s="3"/>
      <c r="C325" s="46"/>
      <c r="D325" s="46"/>
      <c r="E325" s="49"/>
      <c r="F325" s="45"/>
      <c r="G325" s="49"/>
      <c r="H325" s="49"/>
      <c r="I325" s="45"/>
      <c r="J325" s="10"/>
      <c r="K325" s="1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</row>
    <row r="326" spans="2:48" s="43" customFormat="1" x14ac:dyDescent="0.2">
      <c r="B326" s="3"/>
      <c r="C326" s="46"/>
      <c r="D326" s="46"/>
      <c r="E326" s="45"/>
      <c r="F326" s="45"/>
      <c r="G326" s="54"/>
      <c r="H326" s="90"/>
      <c r="I326" s="45"/>
      <c r="J326" s="44"/>
      <c r="K326" s="1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</row>
    <row r="327" spans="2:48" s="43" customFormat="1" x14ac:dyDescent="0.2">
      <c r="B327" s="3"/>
      <c r="C327" s="46"/>
      <c r="D327" s="46"/>
      <c r="E327" s="49"/>
      <c r="F327" s="45"/>
      <c r="G327" s="54"/>
      <c r="H327" s="90"/>
      <c r="I327" s="45"/>
      <c r="J327" s="44"/>
      <c r="K327" s="1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</row>
    <row r="328" spans="2:48" x14ac:dyDescent="0.2">
      <c r="C328" s="46"/>
      <c r="D328" s="46"/>
      <c r="E328" s="45"/>
      <c r="F328" s="45"/>
      <c r="G328" s="49"/>
      <c r="H328" s="49"/>
      <c r="J328" s="10"/>
      <c r="K328" s="1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</row>
    <row r="329" spans="2:48" s="43" customFormat="1" x14ac:dyDescent="0.2">
      <c r="B329" s="3"/>
      <c r="C329" s="51"/>
      <c r="D329" s="51"/>
      <c r="E329" s="45"/>
      <c r="F329" s="45"/>
      <c r="G329" s="49"/>
      <c r="H329" s="49"/>
      <c r="I329" s="45"/>
      <c r="J329" s="10"/>
      <c r="K329" s="1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</row>
    <row r="330" spans="2:48" s="43" customFormat="1" x14ac:dyDescent="0.2">
      <c r="B330" s="3"/>
      <c r="C330" s="46"/>
      <c r="D330" s="46"/>
      <c r="E330" s="45"/>
      <c r="F330" s="45"/>
      <c r="G330" s="49"/>
      <c r="H330" s="49"/>
      <c r="I330" s="45"/>
      <c r="J330" s="10"/>
      <c r="K330" s="1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2:48" s="43" customFormat="1" x14ac:dyDescent="0.2">
      <c r="B331" s="3"/>
      <c r="C331" s="46"/>
      <c r="D331" s="51"/>
      <c r="E331" s="49"/>
      <c r="F331" s="45"/>
      <c r="G331" s="54"/>
      <c r="H331" s="90"/>
      <c r="I331" s="45"/>
      <c r="J331" s="10"/>
      <c r="K331" s="1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</row>
    <row r="332" spans="2:48" s="43" customFormat="1" ht="15" x14ac:dyDescent="0.25">
      <c r="B332" s="3"/>
      <c r="C332" s="46"/>
      <c r="D332" s="46"/>
      <c r="E332" s="45"/>
      <c r="F332" s="45"/>
      <c r="G332" s="45"/>
      <c r="H332" s="85"/>
      <c r="I332" s="45"/>
      <c r="J332" s="44"/>
      <c r="K332" s="1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</row>
    <row r="333" spans="2:48" s="43" customFormat="1" x14ac:dyDescent="0.2">
      <c r="B333" s="3"/>
      <c r="C333" s="46"/>
      <c r="D333" s="46"/>
      <c r="E333" s="45"/>
      <c r="F333" s="45"/>
      <c r="G333" s="54"/>
      <c r="H333" s="90"/>
      <c r="I333" s="45"/>
      <c r="J333" s="44"/>
      <c r="K333" s="1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</row>
    <row r="334" spans="2:48" s="43" customFormat="1" x14ac:dyDescent="0.2">
      <c r="B334" s="3"/>
      <c r="C334" s="46"/>
      <c r="D334" s="46"/>
      <c r="E334" s="45"/>
      <c r="F334" s="45"/>
      <c r="G334" s="54"/>
      <c r="H334" s="90"/>
      <c r="I334" s="45"/>
      <c r="J334" s="10"/>
      <c r="K334" s="1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</row>
    <row r="335" spans="2:48" s="43" customFormat="1" x14ac:dyDescent="0.2">
      <c r="B335" s="3"/>
      <c r="C335" s="46"/>
      <c r="D335" s="46"/>
      <c r="E335" s="45"/>
      <c r="F335" s="45"/>
      <c r="G335" s="45"/>
      <c r="H335" s="85"/>
      <c r="I335" s="45"/>
      <c r="J335" s="10"/>
      <c r="K335" s="1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2:48" s="43" customFormat="1" ht="15" x14ac:dyDescent="0.25">
      <c r="B336" s="3"/>
      <c r="C336" s="46"/>
      <c r="D336" s="61"/>
      <c r="E336" s="45"/>
      <c r="F336" s="45"/>
      <c r="G336" s="49"/>
      <c r="H336" s="49"/>
      <c r="I336" s="45"/>
      <c r="J336" s="10"/>
      <c r="K336" s="1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2:48" s="43" customFormat="1" x14ac:dyDescent="0.2">
      <c r="B337" s="3"/>
      <c r="C337" s="46"/>
      <c r="D337" s="46"/>
      <c r="E337" s="45"/>
      <c r="F337" s="45"/>
      <c r="G337" s="49"/>
      <c r="H337" s="49"/>
      <c r="I337" s="45"/>
      <c r="J337" s="10"/>
      <c r="K337" s="1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2:48" s="43" customFormat="1" x14ac:dyDescent="0.2">
      <c r="B338" s="3"/>
      <c r="C338" s="46"/>
      <c r="D338" s="46"/>
      <c r="E338" s="49"/>
      <c r="F338" s="45"/>
      <c r="G338" s="49"/>
      <c r="H338" s="49"/>
      <c r="I338" s="45"/>
      <c r="J338" s="44"/>
      <c r="K338" s="1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2:48" s="43" customFormat="1" x14ac:dyDescent="0.2">
      <c r="B339" s="3"/>
      <c r="C339" s="46"/>
      <c r="D339" s="46"/>
      <c r="E339" s="45"/>
      <c r="F339" s="45"/>
      <c r="G339" s="49"/>
      <c r="H339" s="49"/>
      <c r="I339" s="45"/>
      <c r="J339" s="10"/>
      <c r="K339" s="1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2:48" s="43" customFormat="1" x14ac:dyDescent="0.2">
      <c r="B340" s="3"/>
      <c r="C340" s="46"/>
      <c r="D340" s="46"/>
      <c r="E340" s="49"/>
      <c r="F340" s="45"/>
      <c r="G340" s="49"/>
      <c r="H340" s="49"/>
      <c r="I340" s="45"/>
      <c r="J340" s="44"/>
      <c r="K340" s="1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2:48" s="43" customFormat="1" x14ac:dyDescent="0.2">
      <c r="B341" s="3"/>
      <c r="C341" s="46"/>
      <c r="D341" s="51"/>
      <c r="E341" s="49"/>
      <c r="F341" s="45"/>
      <c r="G341" s="54"/>
      <c r="H341" s="90"/>
      <c r="I341" s="45"/>
      <c r="J341" s="10"/>
      <c r="K341" s="1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</row>
    <row r="342" spans="2:48" x14ac:dyDescent="0.2">
      <c r="C342" s="46"/>
      <c r="D342" s="46"/>
      <c r="E342" s="49"/>
      <c r="F342" s="45"/>
      <c r="G342" s="54"/>
      <c r="H342" s="90"/>
      <c r="J342" s="44"/>
      <c r="K342" s="1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</row>
    <row r="343" spans="2:48" s="43" customFormat="1" x14ac:dyDescent="0.2">
      <c r="B343" s="3"/>
      <c r="C343" s="46"/>
      <c r="D343" s="46"/>
      <c r="E343" s="49"/>
      <c r="F343" s="45"/>
      <c r="G343" s="49"/>
      <c r="H343" s="49"/>
      <c r="I343" s="45"/>
      <c r="J343" s="44"/>
      <c r="K343" s="1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</row>
    <row r="344" spans="2:48" s="43" customFormat="1" x14ac:dyDescent="0.2">
      <c r="B344" s="3"/>
      <c r="C344" s="46"/>
      <c r="D344" s="51"/>
      <c r="E344" s="49"/>
      <c r="F344" s="50"/>
      <c r="G344" s="49"/>
      <c r="H344" s="49"/>
      <c r="I344" s="50"/>
      <c r="J344" s="44"/>
      <c r="K344" s="1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2:48" s="43" customFormat="1" x14ac:dyDescent="0.2">
      <c r="B345" s="3"/>
      <c r="C345" s="46"/>
      <c r="D345" s="46"/>
      <c r="E345" s="45"/>
      <c r="F345" s="45"/>
      <c r="G345" s="45"/>
      <c r="H345" s="85"/>
      <c r="I345" s="45"/>
      <c r="J345" s="44"/>
      <c r="K345" s="1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2:48" s="43" customFormat="1" x14ac:dyDescent="0.2">
      <c r="B346" s="3"/>
      <c r="C346" s="46"/>
      <c r="D346" s="46"/>
      <c r="E346" s="45"/>
      <c r="F346" s="45"/>
      <c r="G346" s="45"/>
      <c r="H346" s="85"/>
      <c r="I346" s="45"/>
      <c r="J346" s="44"/>
      <c r="K346" s="1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2:48" s="43" customFormat="1" x14ac:dyDescent="0.2">
      <c r="B347" s="3"/>
      <c r="C347" s="46"/>
      <c r="D347" s="46"/>
      <c r="E347" s="45"/>
      <c r="F347" s="45"/>
      <c r="G347" s="45"/>
      <c r="H347" s="85"/>
      <c r="I347" s="45"/>
      <c r="J347" s="10"/>
      <c r="K347" s="1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</row>
    <row r="348" spans="2:48" s="43" customFormat="1" x14ac:dyDescent="0.2">
      <c r="B348" s="3"/>
      <c r="C348" s="46"/>
      <c r="D348" s="46"/>
      <c r="E348" s="45"/>
      <c r="F348" s="45"/>
      <c r="G348" s="45"/>
      <c r="H348" s="85"/>
      <c r="I348" s="45"/>
      <c r="J348" s="44"/>
      <c r="K348" s="1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</row>
    <row r="349" spans="2:48" s="43" customFormat="1" x14ac:dyDescent="0.2">
      <c r="B349" s="3"/>
      <c r="C349" s="46"/>
      <c r="D349" s="46"/>
      <c r="E349" s="5"/>
      <c r="F349" s="5"/>
      <c r="G349" s="5"/>
      <c r="H349" s="85"/>
      <c r="I349" s="45"/>
      <c r="J349" s="44"/>
      <c r="K349" s="1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</row>
    <row r="350" spans="2:48" s="43" customFormat="1" x14ac:dyDescent="0.2">
      <c r="B350" s="3"/>
      <c r="C350" s="46"/>
      <c r="D350" s="46"/>
      <c r="E350" s="49"/>
      <c r="F350" s="45"/>
      <c r="G350" s="49"/>
      <c r="H350" s="49"/>
      <c r="I350" s="45"/>
      <c r="J350" s="44"/>
      <c r="K350" s="1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</row>
    <row r="351" spans="2:48" s="43" customFormat="1" x14ac:dyDescent="0.2">
      <c r="B351" s="3"/>
      <c r="C351" s="46"/>
      <c r="D351" s="46"/>
      <c r="E351" s="49"/>
      <c r="F351" s="45"/>
      <c r="G351" s="54"/>
      <c r="H351" s="90"/>
      <c r="I351" s="45"/>
      <c r="J351" s="44"/>
      <c r="K351" s="1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2:48" s="43" customFormat="1" x14ac:dyDescent="0.2">
      <c r="B352" s="3"/>
      <c r="C352" s="46"/>
      <c r="D352" s="46"/>
      <c r="E352" s="45"/>
      <c r="F352" s="45"/>
      <c r="G352" s="49"/>
      <c r="H352" s="49"/>
      <c r="I352" s="45"/>
      <c r="J352" s="10"/>
      <c r="K352" s="1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2:48" s="43" customFormat="1" x14ac:dyDescent="0.2">
      <c r="B353" s="3"/>
      <c r="C353" s="46"/>
      <c r="D353" s="46"/>
      <c r="E353" s="45"/>
      <c r="F353" s="45"/>
      <c r="G353" s="45"/>
      <c r="H353" s="85"/>
      <c r="I353" s="45"/>
      <c r="J353" s="44"/>
      <c r="K353" s="1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2:48" s="43" customFormat="1" x14ac:dyDescent="0.2">
      <c r="B354" s="3"/>
      <c r="C354" s="46"/>
      <c r="D354" s="46"/>
      <c r="E354" s="45"/>
      <c r="F354" s="45"/>
      <c r="G354" s="49"/>
      <c r="H354" s="49"/>
      <c r="I354" s="45"/>
      <c r="J354" s="10"/>
      <c r="K354" s="1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2:48" s="43" customFormat="1" ht="15" x14ac:dyDescent="0.25">
      <c r="B355" s="3"/>
      <c r="C355" s="46"/>
      <c r="D355" s="62"/>
      <c r="E355" s="45"/>
      <c r="F355" s="45"/>
      <c r="G355" s="49"/>
      <c r="H355" s="49"/>
      <c r="I355" s="45"/>
      <c r="J355" s="10"/>
      <c r="K355" s="1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2:48" s="43" customFormat="1" x14ac:dyDescent="0.2">
      <c r="B356" s="3"/>
      <c r="C356" s="46"/>
      <c r="D356" s="46"/>
      <c r="E356" s="49"/>
      <c r="F356" s="45"/>
      <c r="G356" s="49"/>
      <c r="H356" s="49"/>
      <c r="I356" s="45"/>
      <c r="J356" s="44"/>
      <c r="K356" s="1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2:48" s="43" customFormat="1" x14ac:dyDescent="0.2">
      <c r="B357" s="3"/>
      <c r="C357" s="46"/>
      <c r="D357" s="46"/>
      <c r="E357" s="45"/>
      <c r="F357" s="45"/>
      <c r="G357" s="49"/>
      <c r="H357" s="49"/>
      <c r="I357" s="45"/>
      <c r="J357" s="10"/>
      <c r="K357" s="1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2:48" s="43" customFormat="1" x14ac:dyDescent="0.2">
      <c r="B358" s="3"/>
      <c r="C358" s="46"/>
      <c r="D358" s="51"/>
      <c r="E358" s="49"/>
      <c r="F358" s="50"/>
      <c r="G358" s="49"/>
      <c r="H358" s="49"/>
      <c r="I358" s="50"/>
      <c r="J358" s="44"/>
      <c r="K358" s="1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</row>
    <row r="359" spans="2:48" s="43" customFormat="1" x14ac:dyDescent="0.2">
      <c r="B359" s="3"/>
      <c r="C359" s="46"/>
      <c r="D359" s="51"/>
      <c r="E359" s="49"/>
      <c r="F359" s="50"/>
      <c r="G359" s="49"/>
      <c r="H359" s="49"/>
      <c r="I359" s="50"/>
      <c r="J359" s="44"/>
      <c r="K359" s="1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2:48" s="43" customFormat="1" x14ac:dyDescent="0.2">
      <c r="B360" s="3"/>
      <c r="C360" s="46"/>
      <c r="D360" s="46"/>
      <c r="E360" s="45"/>
      <c r="F360" s="45"/>
      <c r="G360" s="49"/>
      <c r="H360" s="49"/>
      <c r="I360" s="45"/>
      <c r="J360" s="10"/>
      <c r="K360" s="1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2:48" s="43" customFormat="1" x14ac:dyDescent="0.2">
      <c r="B361" s="3"/>
      <c r="C361" s="46"/>
      <c r="D361" s="46"/>
      <c r="E361" s="49"/>
      <c r="F361" s="45"/>
      <c r="G361" s="54"/>
      <c r="H361" s="90"/>
      <c r="I361" s="45"/>
      <c r="J361" s="44"/>
      <c r="K361" s="1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2:48" s="43" customFormat="1" x14ac:dyDescent="0.2">
      <c r="B362" s="3"/>
      <c r="C362" s="46"/>
      <c r="D362" s="46"/>
      <c r="E362" s="45"/>
      <c r="F362" s="45"/>
      <c r="G362" s="45"/>
      <c r="H362" s="85"/>
      <c r="I362" s="45"/>
      <c r="J362" s="44"/>
      <c r="K362" s="1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2:48" s="43" customFormat="1" x14ac:dyDescent="0.2">
      <c r="B363" s="3"/>
      <c r="C363" s="46"/>
      <c r="D363" s="46"/>
      <c r="E363" s="49"/>
      <c r="F363" s="45"/>
      <c r="G363" s="49"/>
      <c r="H363" s="49"/>
      <c r="I363" s="45"/>
      <c r="J363" s="10"/>
      <c r="K363" s="1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2:48" s="43" customFormat="1" x14ac:dyDescent="0.2">
      <c r="B364" s="3"/>
      <c r="C364" s="46"/>
      <c r="D364" s="46"/>
      <c r="E364" s="45"/>
      <c r="F364" s="45"/>
      <c r="G364" s="54"/>
      <c r="H364" s="90"/>
      <c r="I364" s="45"/>
      <c r="J364" s="44"/>
      <c r="K364" s="1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2:48" s="43" customFormat="1" x14ac:dyDescent="0.2">
      <c r="B365" s="3"/>
      <c r="C365" s="46"/>
      <c r="D365" s="46"/>
      <c r="E365" s="45"/>
      <c r="F365" s="45"/>
      <c r="G365" s="45"/>
      <c r="H365" s="85"/>
      <c r="I365" s="45"/>
      <c r="J365" s="44"/>
      <c r="K365" s="1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2:48" s="43" customFormat="1" x14ac:dyDescent="0.2">
      <c r="B366" s="3"/>
      <c r="C366" s="46"/>
      <c r="D366" s="46"/>
      <c r="E366" s="45"/>
      <c r="F366" s="45"/>
      <c r="G366" s="45"/>
      <c r="H366" s="85"/>
      <c r="I366" s="45"/>
      <c r="J366" s="44"/>
      <c r="K366" s="1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2:48" s="43" customFormat="1" x14ac:dyDescent="0.2">
      <c r="B367" s="3"/>
      <c r="C367" s="46"/>
      <c r="D367" s="46"/>
      <c r="E367" s="45"/>
      <c r="F367" s="45"/>
      <c r="G367" s="49"/>
      <c r="H367" s="49"/>
      <c r="I367" s="45"/>
      <c r="J367" s="10"/>
      <c r="K367" s="1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2:48" s="43" customFormat="1" x14ac:dyDescent="0.2">
      <c r="B368" s="3"/>
      <c r="C368" s="46"/>
      <c r="D368" s="46"/>
      <c r="E368" s="45"/>
      <c r="F368" s="45"/>
      <c r="G368" s="49"/>
      <c r="H368" s="49"/>
      <c r="I368" s="45"/>
      <c r="J368" s="10"/>
      <c r="K368" s="1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2:48" s="43" customFormat="1" x14ac:dyDescent="0.2">
      <c r="B369" s="3"/>
      <c r="C369" s="46"/>
      <c r="D369" s="51"/>
      <c r="E369" s="49"/>
      <c r="F369" s="45"/>
      <c r="G369" s="54"/>
      <c r="H369" s="90"/>
      <c r="I369" s="45"/>
      <c r="J369" s="10"/>
      <c r="K369" s="1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</row>
    <row r="370" spans="2:48" s="43" customFormat="1" x14ac:dyDescent="0.2">
      <c r="B370" s="3"/>
      <c r="C370" s="46"/>
      <c r="D370" s="46"/>
      <c r="E370" s="45"/>
      <c r="F370" s="45"/>
      <c r="G370" s="45"/>
      <c r="H370" s="85"/>
      <c r="I370" s="45"/>
      <c r="J370" s="44"/>
      <c r="K370" s="1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2:48" s="43" customFormat="1" x14ac:dyDescent="0.2">
      <c r="B371" s="3"/>
      <c r="C371" s="46"/>
      <c r="D371" s="46"/>
      <c r="E371" s="45"/>
      <c r="F371" s="45"/>
      <c r="G371" s="54"/>
      <c r="H371" s="90"/>
      <c r="I371" s="45"/>
      <c r="J371" s="10"/>
      <c r="K371" s="1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2:48" s="43" customFormat="1" x14ac:dyDescent="0.2">
      <c r="B372" s="3"/>
      <c r="C372" s="46"/>
      <c r="D372" s="46"/>
      <c r="E372" s="45"/>
      <c r="F372" s="45"/>
      <c r="G372" s="45"/>
      <c r="H372" s="85"/>
      <c r="I372" s="45"/>
      <c r="J372" s="44"/>
      <c r="K372" s="1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2:48" s="43" customFormat="1" x14ac:dyDescent="0.2">
      <c r="B373" s="3"/>
      <c r="C373" s="46"/>
      <c r="D373" s="46"/>
      <c r="E373" s="49"/>
      <c r="F373" s="45"/>
      <c r="G373" s="49"/>
      <c r="H373" s="49"/>
      <c r="I373" s="45"/>
      <c r="J373" s="44"/>
      <c r="K373" s="1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2:48" s="43" customFormat="1" x14ac:dyDescent="0.2">
      <c r="B374" s="3"/>
      <c r="C374" s="46"/>
      <c r="D374" s="46"/>
      <c r="E374" s="45"/>
      <c r="F374" s="45"/>
      <c r="G374" s="45"/>
      <c r="H374" s="85"/>
      <c r="I374" s="45"/>
      <c r="J374" s="44"/>
      <c r="K374" s="1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</row>
    <row r="375" spans="2:48" s="43" customFormat="1" x14ac:dyDescent="0.2">
      <c r="B375" s="3"/>
      <c r="C375" s="46"/>
      <c r="D375" s="23"/>
      <c r="E375" s="45"/>
      <c r="F375" s="45"/>
      <c r="G375" s="49"/>
      <c r="H375" s="49"/>
      <c r="I375" s="45"/>
      <c r="J375" s="44"/>
      <c r="K375" s="1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2:48" x14ac:dyDescent="0.2">
      <c r="C376" s="46"/>
      <c r="D376" s="46"/>
      <c r="E376" s="45"/>
      <c r="F376" s="45"/>
      <c r="G376" s="45"/>
      <c r="J376" s="44"/>
      <c r="K376" s="1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2:48" s="43" customFormat="1" x14ac:dyDescent="0.2">
      <c r="B377" s="3"/>
      <c r="C377" s="46"/>
      <c r="D377" s="46"/>
      <c r="E377" s="45"/>
      <c r="F377" s="45"/>
      <c r="G377" s="45"/>
      <c r="H377" s="85"/>
      <c r="I377" s="45"/>
      <c r="J377" s="44"/>
      <c r="K377" s="1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2:48" s="43" customFormat="1" x14ac:dyDescent="0.2">
      <c r="B378" s="3"/>
      <c r="C378" s="46"/>
      <c r="D378" s="46"/>
      <c r="E378" s="45"/>
      <c r="F378" s="45"/>
      <c r="G378" s="45"/>
      <c r="H378" s="85"/>
      <c r="I378" s="45"/>
      <c r="J378" s="44"/>
      <c r="K378" s="1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2:48" s="43" customFormat="1" x14ac:dyDescent="0.2">
      <c r="B379" s="3"/>
      <c r="C379" s="46"/>
      <c r="D379" s="46"/>
      <c r="E379" s="45"/>
      <c r="F379" s="45"/>
      <c r="G379" s="45"/>
      <c r="H379" s="85"/>
      <c r="I379" s="45"/>
      <c r="J379" s="44"/>
      <c r="K379" s="1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2:48" s="43" customFormat="1" x14ac:dyDescent="0.2">
      <c r="B380" s="3"/>
      <c r="C380" s="46"/>
      <c r="D380" s="46"/>
      <c r="E380" s="45"/>
      <c r="F380" s="45"/>
      <c r="G380" s="45"/>
      <c r="H380" s="85"/>
      <c r="I380" s="45"/>
      <c r="J380" s="44"/>
      <c r="K380" s="1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2:48" s="43" customFormat="1" x14ac:dyDescent="0.2">
      <c r="B381" s="3"/>
      <c r="C381" s="46"/>
      <c r="D381" s="46"/>
      <c r="E381" s="45"/>
      <c r="F381" s="45"/>
      <c r="G381" s="45"/>
      <c r="H381" s="85"/>
      <c r="I381" s="45"/>
      <c r="J381" s="44"/>
      <c r="K381" s="1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2:48" s="43" customFormat="1" x14ac:dyDescent="0.2">
      <c r="B382" s="3"/>
      <c r="C382" s="46"/>
      <c r="D382" s="46"/>
      <c r="E382" s="45"/>
      <c r="F382" s="45"/>
      <c r="G382" s="45"/>
      <c r="H382" s="85"/>
      <c r="I382" s="45"/>
      <c r="J382" s="44"/>
      <c r="K382" s="1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</row>
    <row r="383" spans="2:48" s="43" customFormat="1" x14ac:dyDescent="0.2">
      <c r="B383" s="3"/>
      <c r="C383" s="46"/>
      <c r="D383" s="51"/>
      <c r="E383" s="49"/>
      <c r="F383" s="50"/>
      <c r="G383" s="49"/>
      <c r="H383" s="49"/>
      <c r="I383" s="50"/>
      <c r="J383" s="44"/>
      <c r="K383" s="1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2:48" s="43" customFormat="1" x14ac:dyDescent="0.2">
      <c r="B384" s="3"/>
      <c r="C384" s="46"/>
      <c r="D384" s="46"/>
      <c r="E384" s="45"/>
      <c r="F384" s="45"/>
      <c r="G384" s="45"/>
      <c r="H384" s="85"/>
      <c r="I384" s="45"/>
      <c r="J384" s="44"/>
      <c r="K384" s="1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2:48" s="43" customFormat="1" x14ac:dyDescent="0.2">
      <c r="B385" s="3"/>
      <c r="C385" s="46"/>
      <c r="D385" s="51"/>
      <c r="E385" s="49"/>
      <c r="F385" s="45"/>
      <c r="G385" s="54"/>
      <c r="H385" s="90"/>
      <c r="I385" s="45"/>
      <c r="J385" s="10"/>
      <c r="K385" s="1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2:48" s="43" customFormat="1" x14ac:dyDescent="0.2">
      <c r="B386" s="3"/>
      <c r="C386" s="46"/>
      <c r="D386" s="46"/>
      <c r="E386" s="45"/>
      <c r="F386" s="45"/>
      <c r="G386" s="45"/>
      <c r="H386" s="85"/>
      <c r="I386" s="45"/>
      <c r="J386" s="10"/>
      <c r="K386" s="1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2:48" s="43" customFormat="1" x14ac:dyDescent="0.2">
      <c r="B387" s="3"/>
      <c r="C387" s="46"/>
      <c r="D387" s="46"/>
      <c r="E387" s="45"/>
      <c r="F387" s="45"/>
      <c r="G387" s="45"/>
      <c r="H387" s="85"/>
      <c r="I387" s="45"/>
      <c r="J387" s="10"/>
      <c r="K387" s="1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2:48" s="43" customFormat="1" x14ac:dyDescent="0.2">
      <c r="B388" s="3"/>
      <c r="C388" s="46"/>
      <c r="D388" s="46"/>
      <c r="E388" s="45"/>
      <c r="F388" s="45"/>
      <c r="G388" s="45"/>
      <c r="H388" s="85"/>
      <c r="I388" s="45"/>
      <c r="J388" s="10"/>
      <c r="K388" s="1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2:48" s="43" customFormat="1" x14ac:dyDescent="0.2">
      <c r="B389" s="3"/>
      <c r="C389" s="46"/>
      <c r="D389" s="46"/>
      <c r="E389" s="45"/>
      <c r="F389" s="45"/>
      <c r="G389" s="45"/>
      <c r="H389" s="85"/>
      <c r="I389" s="45"/>
      <c r="J389" s="10"/>
      <c r="K389" s="1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2:48" s="43" customFormat="1" x14ac:dyDescent="0.2">
      <c r="B390" s="3"/>
      <c r="C390" s="46"/>
      <c r="D390" s="46"/>
      <c r="E390" s="45"/>
      <c r="F390" s="45"/>
      <c r="G390" s="45"/>
      <c r="H390" s="85"/>
      <c r="I390" s="45"/>
      <c r="J390" s="10"/>
      <c r="K390" s="1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2:48" s="43" customFormat="1" x14ac:dyDescent="0.2">
      <c r="B391" s="3"/>
      <c r="C391" s="46"/>
      <c r="D391" s="46"/>
      <c r="E391" s="45"/>
      <c r="F391" s="45"/>
      <c r="G391" s="49"/>
      <c r="H391" s="49"/>
      <c r="I391" s="45"/>
      <c r="J391" s="44"/>
      <c r="K391" s="1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2:48" s="43" customFormat="1" x14ac:dyDescent="0.2">
      <c r="B392" s="3"/>
      <c r="C392" s="46"/>
      <c r="D392" s="46"/>
      <c r="E392" s="45"/>
      <c r="F392" s="45"/>
      <c r="G392" s="45"/>
      <c r="H392" s="85"/>
      <c r="I392" s="45"/>
      <c r="J392" s="44"/>
      <c r="K392" s="1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2:48" s="43" customFormat="1" x14ac:dyDescent="0.2">
      <c r="B393" s="3"/>
      <c r="C393" s="46"/>
      <c r="D393" s="46"/>
      <c r="E393" s="45"/>
      <c r="F393" s="45"/>
      <c r="G393" s="45"/>
      <c r="H393" s="85"/>
      <c r="I393" s="45"/>
      <c r="J393" s="44"/>
      <c r="K393" s="1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2:48" s="43" customFormat="1" x14ac:dyDescent="0.2">
      <c r="B394" s="3"/>
      <c r="C394" s="46"/>
      <c r="D394" s="46"/>
      <c r="E394" s="45"/>
      <c r="F394" s="45"/>
      <c r="G394" s="45"/>
      <c r="H394" s="85"/>
      <c r="I394" s="45"/>
      <c r="J394" s="44"/>
      <c r="K394" s="1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2:48" s="43" customFormat="1" x14ac:dyDescent="0.2">
      <c r="B395" s="3"/>
      <c r="C395" s="46"/>
      <c r="D395" s="46"/>
      <c r="E395" s="45"/>
      <c r="F395" s="45"/>
      <c r="G395" s="49"/>
      <c r="H395" s="49"/>
      <c r="I395" s="45"/>
      <c r="J395" s="10"/>
      <c r="K395" s="1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2:48" s="43" customFormat="1" x14ac:dyDescent="0.2">
      <c r="B396" s="3"/>
      <c r="C396" s="46"/>
      <c r="D396" s="46"/>
      <c r="E396" s="49"/>
      <c r="F396" s="45"/>
      <c r="G396" s="54"/>
      <c r="H396" s="90"/>
      <c r="I396" s="45"/>
      <c r="J396" s="44"/>
      <c r="K396" s="1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2:48" s="43" customFormat="1" x14ac:dyDescent="0.2">
      <c r="B397" s="3"/>
      <c r="C397" s="46"/>
      <c r="D397" s="46"/>
      <c r="E397" s="5"/>
      <c r="F397" s="5"/>
      <c r="G397" s="5"/>
      <c r="H397" s="85"/>
      <c r="I397" s="45"/>
      <c r="J397" s="44"/>
      <c r="K397" s="1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2:48" s="43" customFormat="1" x14ac:dyDescent="0.2">
      <c r="B398" s="3"/>
      <c r="C398" s="46"/>
      <c r="D398" s="51"/>
      <c r="E398" s="49"/>
      <c r="F398" s="50"/>
      <c r="G398" s="49"/>
      <c r="H398" s="49"/>
      <c r="I398" s="50"/>
      <c r="J398" s="44"/>
      <c r="K398" s="1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</row>
    <row r="399" spans="2:48" s="43" customFormat="1" x14ac:dyDescent="0.2">
      <c r="B399" s="3"/>
      <c r="C399" s="46"/>
      <c r="D399" s="46"/>
      <c r="E399" s="45"/>
      <c r="F399" s="45"/>
      <c r="G399" s="45"/>
      <c r="H399" s="85"/>
      <c r="I399" s="45"/>
      <c r="J399" s="44"/>
      <c r="K399" s="1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</row>
    <row r="400" spans="2:48" s="43" customFormat="1" x14ac:dyDescent="0.2">
      <c r="B400" s="3"/>
      <c r="C400" s="46"/>
      <c r="D400" s="46"/>
      <c r="E400" s="49"/>
      <c r="F400" s="45"/>
      <c r="G400" s="49"/>
      <c r="H400" s="49"/>
      <c r="I400" s="45"/>
      <c r="J400" s="44"/>
      <c r="K400" s="1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</row>
    <row r="401" spans="2:48" s="43" customFormat="1" x14ac:dyDescent="0.2">
      <c r="B401" s="3"/>
      <c r="C401" s="46"/>
      <c r="D401" s="46"/>
      <c r="E401" s="45"/>
      <c r="F401" s="45"/>
      <c r="G401" s="45"/>
      <c r="H401" s="85"/>
      <c r="I401" s="45"/>
      <c r="J401" s="44"/>
      <c r="K401" s="1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2:48" s="43" customFormat="1" x14ac:dyDescent="0.2">
      <c r="B402" s="3"/>
      <c r="C402" s="46"/>
      <c r="D402" s="51"/>
      <c r="E402" s="49"/>
      <c r="F402" s="45"/>
      <c r="G402" s="54"/>
      <c r="H402" s="90"/>
      <c r="I402" s="45"/>
      <c r="J402" s="10"/>
      <c r="K402" s="1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</row>
    <row r="403" spans="2:48" s="43" customFormat="1" ht="15" x14ac:dyDescent="0.25">
      <c r="B403" s="3"/>
      <c r="C403" s="46"/>
      <c r="D403" s="61"/>
      <c r="E403" s="45"/>
      <c r="F403" s="45"/>
      <c r="G403" s="49"/>
      <c r="H403" s="49"/>
      <c r="I403" s="45"/>
      <c r="J403" s="10"/>
      <c r="K403" s="1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2:48" s="43" customFormat="1" x14ac:dyDescent="0.2">
      <c r="B404" s="3"/>
      <c r="C404" s="46"/>
      <c r="D404" s="46"/>
      <c r="E404" s="49"/>
      <c r="F404" s="45"/>
      <c r="G404" s="49"/>
      <c r="H404" s="49"/>
      <c r="I404" s="45"/>
      <c r="J404" s="44"/>
      <c r="K404" s="1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</row>
    <row r="405" spans="2:48" s="43" customFormat="1" x14ac:dyDescent="0.2">
      <c r="B405" s="3"/>
      <c r="C405" s="46"/>
      <c r="D405" s="46"/>
      <c r="E405" s="45"/>
      <c r="F405" s="45"/>
      <c r="G405" s="49"/>
      <c r="H405" s="49"/>
      <c r="I405" s="45"/>
      <c r="J405" s="10"/>
      <c r="K405" s="1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</row>
    <row r="406" spans="2:48" s="43" customFormat="1" x14ac:dyDescent="0.2">
      <c r="B406" s="3"/>
      <c r="C406" s="46"/>
      <c r="D406" s="51"/>
      <c r="E406" s="49"/>
      <c r="F406" s="45"/>
      <c r="G406" s="54"/>
      <c r="H406" s="90"/>
      <c r="I406" s="45"/>
      <c r="J406" s="10"/>
      <c r="K406" s="1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2:48" s="43" customFormat="1" x14ac:dyDescent="0.2">
      <c r="B407" s="3"/>
      <c r="C407" s="46"/>
      <c r="D407" s="51"/>
      <c r="E407" s="49"/>
      <c r="F407" s="45"/>
      <c r="G407" s="54"/>
      <c r="H407" s="90"/>
      <c r="I407" s="45"/>
      <c r="J407" s="10"/>
      <c r="K407" s="1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</row>
    <row r="408" spans="2:48" s="43" customFormat="1" x14ac:dyDescent="0.2">
      <c r="B408" s="3"/>
      <c r="C408" s="46"/>
      <c r="D408" s="46"/>
      <c r="E408" s="45"/>
      <c r="F408" s="45"/>
      <c r="G408" s="45"/>
      <c r="H408" s="85"/>
      <c r="I408" s="45"/>
      <c r="J408" s="44"/>
      <c r="K408" s="1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</row>
    <row r="409" spans="2:48" s="43" customFormat="1" x14ac:dyDescent="0.2">
      <c r="B409" s="3"/>
      <c r="C409" s="46"/>
      <c r="D409" s="46"/>
      <c r="E409" s="45"/>
      <c r="F409" s="45"/>
      <c r="G409" s="49"/>
      <c r="H409" s="49"/>
      <c r="I409" s="45"/>
      <c r="J409" s="10"/>
      <c r="K409" s="1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</row>
    <row r="410" spans="2:48" s="43" customFormat="1" x14ac:dyDescent="0.2">
      <c r="B410" s="3"/>
      <c r="C410" s="46"/>
      <c r="D410" s="46"/>
      <c r="E410" s="45"/>
      <c r="F410" s="45"/>
      <c r="G410" s="54"/>
      <c r="H410" s="90"/>
      <c r="I410" s="45"/>
      <c r="J410" s="44"/>
      <c r="K410" s="1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2:48" s="43" customFormat="1" x14ac:dyDescent="0.2">
      <c r="B411" s="3"/>
      <c r="C411" s="46"/>
      <c r="D411" s="46"/>
      <c r="E411" s="45"/>
      <c r="F411" s="45"/>
      <c r="G411" s="45"/>
      <c r="H411" s="85"/>
      <c r="I411" s="45"/>
      <c r="J411" s="10"/>
      <c r="K411" s="1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</row>
    <row r="412" spans="2:48" s="43" customFormat="1" x14ac:dyDescent="0.2">
      <c r="B412" s="3"/>
      <c r="C412" s="46"/>
      <c r="D412" s="46"/>
      <c r="E412" s="45"/>
      <c r="F412" s="45"/>
      <c r="G412" s="49"/>
      <c r="H412" s="49"/>
      <c r="I412" s="45"/>
      <c r="J412" s="10"/>
      <c r="K412" s="1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</row>
    <row r="413" spans="2:48" s="43" customFormat="1" x14ac:dyDescent="0.2">
      <c r="B413" s="3"/>
      <c r="C413" s="46"/>
      <c r="D413" s="46"/>
      <c r="E413" s="45"/>
      <c r="F413" s="45"/>
      <c r="G413" s="49"/>
      <c r="H413" s="49"/>
      <c r="I413" s="45"/>
      <c r="J413" s="10"/>
      <c r="K413" s="1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</row>
    <row r="414" spans="2:48" s="43" customFormat="1" x14ac:dyDescent="0.2">
      <c r="B414" s="3"/>
      <c r="C414" s="46"/>
      <c r="D414" s="46"/>
      <c r="E414" s="45"/>
      <c r="F414" s="45"/>
      <c r="G414" s="49"/>
      <c r="H414" s="49"/>
      <c r="I414" s="45"/>
      <c r="J414" s="10"/>
      <c r="K414" s="1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</row>
    <row r="415" spans="2:48" s="43" customFormat="1" x14ac:dyDescent="0.2">
      <c r="B415" s="3"/>
      <c r="C415" s="46"/>
      <c r="D415" s="46"/>
      <c r="E415" s="45"/>
      <c r="F415" s="45"/>
      <c r="G415" s="45"/>
      <c r="H415" s="85"/>
      <c r="I415" s="45"/>
      <c r="J415" s="44"/>
      <c r="K415" s="1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</row>
    <row r="416" spans="2:48" s="43" customFormat="1" x14ac:dyDescent="0.2">
      <c r="B416" s="3"/>
      <c r="C416" s="46"/>
      <c r="D416" s="46"/>
      <c r="E416" s="45"/>
      <c r="F416" s="45"/>
      <c r="G416" s="49"/>
      <c r="H416" s="49"/>
      <c r="I416" s="45"/>
      <c r="J416" s="10"/>
      <c r="K416" s="1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</row>
    <row r="417" spans="2:48" s="43" customFormat="1" ht="15" x14ac:dyDescent="0.25">
      <c r="B417" s="3"/>
      <c r="C417" s="46"/>
      <c r="D417" s="64"/>
      <c r="E417" s="45"/>
      <c r="F417" s="45"/>
      <c r="G417" s="49"/>
      <c r="H417" s="49"/>
      <c r="I417" s="45"/>
      <c r="J417" s="10"/>
      <c r="K417" s="1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</row>
    <row r="418" spans="2:48" s="43" customFormat="1" x14ac:dyDescent="0.2">
      <c r="B418" s="3"/>
      <c r="C418" s="46"/>
      <c r="D418" s="46"/>
      <c r="E418" s="45"/>
      <c r="F418" s="45"/>
      <c r="G418" s="49"/>
      <c r="H418" s="49"/>
      <c r="I418" s="45"/>
      <c r="J418" s="10"/>
      <c r="K418" s="1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</row>
    <row r="419" spans="2:48" s="43" customFormat="1" x14ac:dyDescent="0.2">
      <c r="B419" s="3"/>
      <c r="C419" s="46"/>
      <c r="D419" s="46"/>
      <c r="E419" s="45"/>
      <c r="F419" s="45"/>
      <c r="G419" s="49"/>
      <c r="H419" s="49"/>
      <c r="I419" s="45"/>
      <c r="J419" s="10"/>
      <c r="K419" s="1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</row>
    <row r="420" spans="2:48" s="43" customFormat="1" x14ac:dyDescent="0.2">
      <c r="B420" s="3"/>
      <c r="C420" s="46"/>
      <c r="D420" s="46"/>
      <c r="E420" s="45"/>
      <c r="F420" s="45"/>
      <c r="G420" s="49"/>
      <c r="H420" s="49"/>
      <c r="I420" s="45"/>
      <c r="J420" s="10"/>
      <c r="K420" s="1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</row>
    <row r="421" spans="2:48" s="43" customFormat="1" x14ac:dyDescent="0.2">
      <c r="B421" s="3"/>
      <c r="C421" s="46"/>
      <c r="D421" s="46"/>
      <c r="E421" s="45"/>
      <c r="F421" s="45"/>
      <c r="G421" s="49"/>
      <c r="H421" s="49"/>
      <c r="I421" s="45"/>
      <c r="J421" s="10"/>
      <c r="K421" s="1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</row>
    <row r="422" spans="2:48" s="43" customFormat="1" x14ac:dyDescent="0.2">
      <c r="B422" s="3"/>
      <c r="C422" s="46"/>
      <c r="D422" s="46"/>
      <c r="E422" s="45"/>
      <c r="F422" s="45"/>
      <c r="G422" s="49"/>
      <c r="H422" s="49"/>
      <c r="I422" s="45"/>
      <c r="J422" s="10"/>
      <c r="K422" s="1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</row>
    <row r="423" spans="2:48" s="43" customFormat="1" x14ac:dyDescent="0.2">
      <c r="B423" s="3"/>
      <c r="C423" s="46"/>
      <c r="D423" s="46"/>
      <c r="E423" s="45"/>
      <c r="F423" s="45"/>
      <c r="G423" s="49"/>
      <c r="H423" s="49"/>
      <c r="I423" s="45"/>
      <c r="J423" s="10"/>
      <c r="K423" s="1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</row>
    <row r="424" spans="2:48" s="43" customFormat="1" x14ac:dyDescent="0.2">
      <c r="B424" s="3"/>
      <c r="C424" s="46"/>
      <c r="D424" s="46"/>
      <c r="E424" s="45"/>
      <c r="F424" s="45"/>
      <c r="G424" s="49"/>
      <c r="H424" s="49"/>
      <c r="I424" s="45"/>
      <c r="J424" s="10"/>
      <c r="K424" s="1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</row>
    <row r="425" spans="2:48" s="43" customFormat="1" x14ac:dyDescent="0.2">
      <c r="B425" s="3"/>
      <c r="C425" s="46"/>
      <c r="D425" s="46"/>
      <c r="E425" s="45"/>
      <c r="F425" s="45"/>
      <c r="G425" s="49"/>
      <c r="H425" s="49"/>
      <c r="I425" s="45"/>
      <c r="J425" s="10"/>
      <c r="K425" s="1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</row>
    <row r="426" spans="2:48" s="43" customFormat="1" x14ac:dyDescent="0.2">
      <c r="B426" s="3"/>
      <c r="C426" s="46"/>
      <c r="D426" s="51"/>
      <c r="E426" s="49"/>
      <c r="F426" s="50"/>
      <c r="G426" s="49"/>
      <c r="H426" s="49"/>
      <c r="I426" s="50"/>
      <c r="J426" s="44"/>
      <c r="K426" s="1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</row>
    <row r="427" spans="2:48" s="43" customFormat="1" x14ac:dyDescent="0.2">
      <c r="B427" s="3"/>
      <c r="C427" s="46"/>
      <c r="D427" s="46"/>
      <c r="E427" s="45"/>
      <c r="F427" s="45"/>
      <c r="G427" s="49"/>
      <c r="H427" s="49"/>
      <c r="I427" s="45"/>
      <c r="J427" s="10"/>
      <c r="K427" s="1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</row>
    <row r="428" spans="2:48" s="43" customFormat="1" x14ac:dyDescent="0.2">
      <c r="B428" s="3"/>
      <c r="C428" s="46"/>
      <c r="D428" s="46"/>
      <c r="E428" s="45"/>
      <c r="F428" s="45"/>
      <c r="G428" s="45"/>
      <c r="H428" s="85"/>
      <c r="I428" s="45"/>
      <c r="J428" s="44"/>
      <c r="K428" s="1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</row>
    <row r="429" spans="2:48" s="43" customFormat="1" x14ac:dyDescent="0.2">
      <c r="B429" s="3"/>
      <c r="C429" s="46"/>
      <c r="D429" s="46"/>
      <c r="E429" s="45"/>
      <c r="F429" s="45"/>
      <c r="G429" s="45"/>
      <c r="H429" s="85"/>
      <c r="I429" s="45"/>
      <c r="J429" s="10"/>
      <c r="K429" s="1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</row>
    <row r="430" spans="2:48" s="43" customFormat="1" x14ac:dyDescent="0.2">
      <c r="B430" s="3"/>
      <c r="C430" s="46"/>
      <c r="D430" s="46"/>
      <c r="E430" s="45"/>
      <c r="F430" s="45"/>
      <c r="G430" s="49"/>
      <c r="H430" s="49"/>
      <c r="I430" s="45"/>
      <c r="J430" s="10"/>
      <c r="K430" s="1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</row>
    <row r="431" spans="2:48" x14ac:dyDescent="0.2">
      <c r="C431" s="46"/>
      <c r="D431" s="46"/>
      <c r="E431" s="45"/>
      <c r="F431" s="45"/>
      <c r="G431" s="49"/>
      <c r="H431" s="49"/>
      <c r="J431" s="10"/>
      <c r="K431" s="1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2:48" s="43" customFormat="1" x14ac:dyDescent="0.2">
      <c r="B432" s="3"/>
      <c r="C432" s="46"/>
      <c r="D432" s="46"/>
      <c r="E432" s="45"/>
      <c r="F432" s="45"/>
      <c r="G432" s="49"/>
      <c r="H432" s="49"/>
      <c r="I432" s="45"/>
      <c r="J432" s="10"/>
      <c r="K432" s="1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</row>
    <row r="433" spans="1:48" x14ac:dyDescent="0.2">
      <c r="C433" s="46"/>
      <c r="D433" s="46"/>
      <c r="E433" s="45"/>
      <c r="F433" s="45"/>
      <c r="G433" s="49"/>
      <c r="H433" s="49"/>
      <c r="J433" s="10"/>
      <c r="K433" s="1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</row>
    <row r="434" spans="1:48" x14ac:dyDescent="0.2">
      <c r="C434" s="46"/>
      <c r="D434" s="46"/>
      <c r="E434" s="45"/>
      <c r="F434" s="45"/>
      <c r="G434" s="49"/>
      <c r="H434" s="49"/>
      <c r="J434" s="10"/>
      <c r="K434" s="1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</row>
    <row r="435" spans="1:48" x14ac:dyDescent="0.2">
      <c r="C435" s="46"/>
      <c r="D435" s="46"/>
      <c r="E435" s="45"/>
      <c r="F435" s="45"/>
      <c r="G435" s="49"/>
      <c r="H435" s="49"/>
      <c r="J435" s="10"/>
      <c r="K435" s="1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</row>
    <row r="436" spans="1:48" x14ac:dyDescent="0.2">
      <c r="C436" s="46"/>
      <c r="D436" s="46"/>
      <c r="E436" s="45"/>
      <c r="F436" s="45"/>
      <c r="G436" s="49"/>
      <c r="H436" s="49"/>
      <c r="J436" s="10"/>
      <c r="K436" s="1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</row>
    <row r="437" spans="1:48" x14ac:dyDescent="0.2">
      <c r="C437" s="46"/>
      <c r="D437" s="46"/>
      <c r="E437" s="45"/>
      <c r="F437" s="45"/>
      <c r="G437" s="49"/>
      <c r="H437" s="49"/>
      <c r="J437" s="10"/>
      <c r="K437" s="1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x14ac:dyDescent="0.2">
      <c r="C438" s="46"/>
      <c r="D438" s="46"/>
      <c r="E438" s="45"/>
      <c r="F438" s="45"/>
      <c r="G438" s="49"/>
      <c r="H438" s="49"/>
      <c r="J438" s="10"/>
      <c r="K438" s="1"/>
      <c r="L438" s="46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</row>
    <row r="439" spans="1:48" s="27" customFormat="1" x14ac:dyDescent="0.2">
      <c r="A439" s="43"/>
      <c r="B439" s="3"/>
      <c r="C439" s="46"/>
      <c r="D439" s="46"/>
      <c r="E439" s="45"/>
      <c r="F439" s="45"/>
      <c r="G439" s="49"/>
      <c r="H439" s="49"/>
      <c r="I439" s="45"/>
      <c r="J439" s="10"/>
      <c r="K439" s="1"/>
      <c r="L439" s="46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43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</row>
    <row r="440" spans="1:48" x14ac:dyDescent="0.2">
      <c r="C440" s="46"/>
      <c r="D440" s="46"/>
      <c r="E440" s="45"/>
      <c r="F440" s="45"/>
      <c r="G440" s="49"/>
      <c r="H440" s="49"/>
      <c r="J440" s="10"/>
      <c r="K440" s="1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</row>
    <row r="441" spans="1:48" x14ac:dyDescent="0.2">
      <c r="C441" s="46"/>
      <c r="D441" s="46"/>
      <c r="E441" s="45"/>
      <c r="F441" s="45"/>
      <c r="G441" s="49"/>
      <c r="H441" s="49"/>
      <c r="J441" s="10"/>
      <c r="K441" s="1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x14ac:dyDescent="0.2">
      <c r="C442" s="46"/>
      <c r="D442" s="46"/>
      <c r="E442" s="45"/>
      <c r="F442" s="45"/>
      <c r="G442" s="49"/>
      <c r="H442" s="49"/>
      <c r="J442" s="10"/>
      <c r="K442" s="1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</row>
    <row r="443" spans="1:48" x14ac:dyDescent="0.2">
      <c r="C443" s="46"/>
      <c r="D443" s="46"/>
      <c r="E443" s="45"/>
      <c r="F443" s="45"/>
      <c r="G443" s="49"/>
      <c r="H443" s="49"/>
      <c r="J443" s="10"/>
      <c r="K443" s="1"/>
      <c r="L443" s="46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</row>
    <row r="444" spans="1:48" x14ac:dyDescent="0.2">
      <c r="C444" s="46"/>
      <c r="D444" s="46"/>
      <c r="E444" s="45"/>
      <c r="F444" s="45"/>
      <c r="G444" s="49"/>
      <c r="H444" s="49"/>
      <c r="J444" s="10"/>
      <c r="K444" s="1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</row>
    <row r="445" spans="1:48" x14ac:dyDescent="0.2">
      <c r="C445" s="46"/>
      <c r="D445" s="46"/>
      <c r="E445" s="45"/>
      <c r="F445" s="45"/>
      <c r="G445" s="49"/>
      <c r="H445" s="49"/>
      <c r="J445" s="10"/>
      <c r="K445" s="1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</row>
    <row r="446" spans="1:48" x14ac:dyDescent="0.2">
      <c r="C446" s="46"/>
      <c r="D446" s="46"/>
      <c r="E446" s="45"/>
      <c r="F446" s="45"/>
      <c r="G446" s="49"/>
      <c r="H446" s="49"/>
      <c r="J446" s="10"/>
      <c r="K446" s="1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x14ac:dyDescent="0.2">
      <c r="C447" s="46"/>
      <c r="D447" s="46"/>
      <c r="E447" s="45"/>
      <c r="F447" s="45"/>
      <c r="G447" s="49"/>
      <c r="H447" s="49"/>
      <c r="J447" s="10"/>
      <c r="K447" s="1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</row>
    <row r="448" spans="1:48" x14ac:dyDescent="0.2">
      <c r="C448" s="46"/>
      <c r="D448" s="46"/>
      <c r="E448" s="45"/>
      <c r="F448" s="45"/>
      <c r="G448" s="49"/>
      <c r="H448" s="49"/>
      <c r="J448" s="10"/>
      <c r="K448" s="1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</row>
    <row r="449" spans="2:48" x14ac:dyDescent="0.2">
      <c r="C449" s="46"/>
      <c r="D449" s="46"/>
      <c r="E449" s="45"/>
      <c r="F449" s="45"/>
      <c r="G449" s="49"/>
      <c r="H449" s="49"/>
      <c r="J449" s="10"/>
      <c r="K449" s="1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</row>
    <row r="450" spans="2:48" x14ac:dyDescent="0.2">
      <c r="C450" s="46"/>
      <c r="D450" s="46"/>
      <c r="E450" s="45"/>
      <c r="F450" s="45"/>
      <c r="G450" s="49"/>
      <c r="H450" s="49"/>
      <c r="J450" s="10"/>
      <c r="K450" s="1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2:48" x14ac:dyDescent="0.2">
      <c r="C451" s="46"/>
      <c r="D451" s="46"/>
      <c r="E451" s="45"/>
      <c r="F451" s="45"/>
      <c r="G451" s="49"/>
      <c r="H451" s="49"/>
      <c r="J451" s="10"/>
      <c r="K451" s="1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</row>
    <row r="452" spans="2:48" x14ac:dyDescent="0.2">
      <c r="C452" s="46"/>
      <c r="D452" s="46"/>
      <c r="E452" s="45"/>
      <c r="F452" s="45"/>
      <c r="G452" s="49"/>
      <c r="H452" s="49"/>
      <c r="J452" s="44"/>
      <c r="K452" s="1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</row>
    <row r="453" spans="2:48" x14ac:dyDescent="0.2">
      <c r="C453" s="46"/>
      <c r="D453" s="46"/>
      <c r="E453" s="45"/>
      <c r="F453" s="45"/>
      <c r="G453" s="49"/>
      <c r="H453" s="49"/>
      <c r="J453" s="44"/>
      <c r="K453" s="1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</row>
    <row r="454" spans="2:48" x14ac:dyDescent="0.2">
      <c r="C454" s="48"/>
      <c r="D454" s="46"/>
      <c r="E454" s="47"/>
      <c r="F454" s="45"/>
      <c r="G454" s="47"/>
      <c r="H454" s="47"/>
      <c r="J454" s="44"/>
      <c r="K454" s="1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</row>
    <row r="455" spans="2:48" x14ac:dyDescent="0.2">
      <c r="C455" s="46"/>
      <c r="D455" s="46"/>
      <c r="E455" s="45"/>
      <c r="F455" s="45"/>
      <c r="G455" s="54"/>
      <c r="H455" s="90"/>
      <c r="J455" s="44"/>
      <c r="K455" s="1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</row>
    <row r="456" spans="2:48" x14ac:dyDescent="0.2">
      <c r="B456" s="5"/>
      <c r="C456" s="46"/>
      <c r="D456" s="46"/>
      <c r="E456" s="45"/>
      <c r="F456" s="45"/>
      <c r="G456" s="54"/>
      <c r="H456" s="90"/>
      <c r="J456" s="44"/>
      <c r="K456" s="1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</row>
    <row r="457" spans="2:48" x14ac:dyDescent="0.2">
      <c r="C457" s="46"/>
      <c r="D457" s="46"/>
      <c r="E457" s="45"/>
      <c r="F457" s="45"/>
      <c r="G457" s="49"/>
      <c r="H457" s="49"/>
      <c r="J457" s="44"/>
      <c r="K457" s="1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</row>
    <row r="458" spans="2:48" x14ac:dyDescent="0.2">
      <c r="C458" s="46"/>
      <c r="D458" s="46"/>
      <c r="E458" s="45"/>
      <c r="F458" s="45"/>
      <c r="G458" s="49"/>
      <c r="H458" s="49"/>
      <c r="J458" s="44"/>
      <c r="K458" s="1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</row>
    <row r="459" spans="2:48" x14ac:dyDescent="0.2">
      <c r="C459" s="46"/>
      <c r="D459" s="46"/>
      <c r="E459" s="45"/>
      <c r="F459" s="45"/>
      <c r="G459" s="53"/>
      <c r="H459" s="53"/>
      <c r="J459" s="44"/>
      <c r="K459" s="1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</row>
    <row r="460" spans="2:48" x14ac:dyDescent="0.2">
      <c r="C460" s="46"/>
      <c r="D460" s="46"/>
      <c r="E460" s="49"/>
      <c r="F460" s="45"/>
      <c r="G460" s="49"/>
      <c r="H460" s="49"/>
      <c r="J460" s="44"/>
      <c r="K460" s="1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</row>
    <row r="461" spans="2:48" x14ac:dyDescent="0.2">
      <c r="C461" s="46"/>
      <c r="D461" s="46"/>
      <c r="E461" s="47"/>
      <c r="F461" s="45"/>
      <c r="G461" s="49"/>
      <c r="H461" s="49"/>
      <c r="J461" s="44"/>
      <c r="K461" s="1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</row>
    <row r="462" spans="2:48" x14ac:dyDescent="0.2">
      <c r="C462" s="46"/>
      <c r="D462" s="46"/>
      <c r="E462" s="49"/>
      <c r="F462" s="45"/>
      <c r="G462" s="54"/>
      <c r="H462" s="90"/>
      <c r="J462" s="44"/>
      <c r="K462" s="1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</row>
    <row r="463" spans="2:48" x14ac:dyDescent="0.2">
      <c r="C463" s="46"/>
      <c r="D463" s="46"/>
      <c r="E463" s="45"/>
      <c r="F463" s="45"/>
      <c r="G463" s="54"/>
      <c r="H463" s="90"/>
      <c r="J463" s="44"/>
      <c r="K463" s="1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</row>
    <row r="464" spans="2:48" x14ac:dyDescent="0.2">
      <c r="C464" s="46"/>
      <c r="D464" s="46"/>
      <c r="E464" s="45"/>
      <c r="F464" s="45"/>
      <c r="G464" s="54"/>
      <c r="H464" s="90"/>
      <c r="J464" s="44"/>
      <c r="K464" s="1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</row>
    <row r="465" spans="1:48" x14ac:dyDescent="0.2">
      <c r="C465" s="46"/>
      <c r="D465" s="46"/>
      <c r="E465" s="45"/>
      <c r="F465" s="45"/>
      <c r="G465" s="45"/>
      <c r="J465" s="44"/>
      <c r="K465" s="1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</row>
    <row r="466" spans="1:48" s="27" customFormat="1" x14ac:dyDescent="0.2">
      <c r="A466" s="43"/>
      <c r="B466" s="3"/>
      <c r="C466" s="46"/>
      <c r="D466" s="46"/>
      <c r="E466" s="45"/>
      <c r="F466" s="45"/>
      <c r="G466" s="53"/>
      <c r="H466" s="53"/>
      <c r="I466" s="45"/>
      <c r="J466" s="44"/>
      <c r="K466" s="1"/>
      <c r="L466" s="43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43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</row>
    <row r="467" spans="1:48" x14ac:dyDescent="0.2">
      <c r="B467" s="39"/>
      <c r="C467" s="46"/>
      <c r="D467" s="46"/>
      <c r="E467" s="49"/>
      <c r="F467" s="45"/>
      <c r="G467" s="54"/>
      <c r="H467" s="90"/>
      <c r="J467" s="44"/>
      <c r="K467" s="1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</row>
    <row r="468" spans="1:48" x14ac:dyDescent="0.2">
      <c r="C468" s="46"/>
      <c r="D468" s="46"/>
      <c r="E468" s="45"/>
      <c r="F468" s="45"/>
      <c r="G468" s="54"/>
      <c r="H468" s="90"/>
      <c r="J468" s="44"/>
      <c r="K468" s="1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</row>
    <row r="469" spans="1:48" x14ac:dyDescent="0.2">
      <c r="C469" s="40"/>
      <c r="D469" s="40"/>
      <c r="E469" s="39"/>
      <c r="F469" s="39"/>
      <c r="G469" s="39"/>
      <c r="J469" s="44"/>
      <c r="K469" s="1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</row>
    <row r="470" spans="1:48" x14ac:dyDescent="0.2">
      <c r="C470" s="46"/>
      <c r="D470" s="46"/>
      <c r="E470" s="45"/>
      <c r="F470" s="45"/>
      <c r="G470" s="45"/>
      <c r="J470" s="44"/>
      <c r="K470" s="1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</row>
    <row r="471" spans="1:48" x14ac:dyDescent="0.2">
      <c r="C471" s="46"/>
      <c r="D471" s="46"/>
      <c r="E471" s="45"/>
      <c r="F471" s="45"/>
      <c r="G471" s="54"/>
      <c r="H471" s="90"/>
      <c r="J471" s="44"/>
      <c r="K471" s="1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</row>
    <row r="472" spans="1:48" x14ac:dyDescent="0.2">
      <c r="C472" s="46"/>
      <c r="D472" s="46"/>
      <c r="E472" s="45"/>
      <c r="F472" s="45"/>
      <c r="G472" s="54"/>
      <c r="H472" s="90"/>
      <c r="J472" s="44"/>
      <c r="K472" s="1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</row>
    <row r="473" spans="1:48" x14ac:dyDescent="0.2">
      <c r="C473" s="46"/>
      <c r="D473" s="46"/>
      <c r="E473" s="50"/>
      <c r="F473" s="45"/>
      <c r="G473" s="49"/>
      <c r="H473" s="49"/>
      <c r="J473" s="44"/>
      <c r="K473" s="1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</row>
    <row r="474" spans="1:48" x14ac:dyDescent="0.2">
      <c r="C474" s="40"/>
      <c r="D474" s="40"/>
      <c r="E474" s="39"/>
      <c r="F474" s="39"/>
      <c r="G474" s="41"/>
      <c r="H474" s="49"/>
      <c r="J474" s="44"/>
      <c r="K474" s="1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</row>
    <row r="475" spans="1:48" x14ac:dyDescent="0.2">
      <c r="C475" s="46"/>
      <c r="D475" s="46"/>
      <c r="E475" s="45"/>
      <c r="F475" s="45"/>
      <c r="G475" s="45"/>
      <c r="J475" s="44"/>
      <c r="K475" s="1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</row>
    <row r="476" spans="1:48" s="43" customFormat="1" x14ac:dyDescent="0.2">
      <c r="B476" s="3"/>
      <c r="C476" s="46"/>
      <c r="D476" s="46"/>
      <c r="E476" s="45"/>
      <c r="F476" s="45"/>
      <c r="G476" s="49"/>
      <c r="H476" s="49"/>
      <c r="I476" s="45"/>
      <c r="J476" s="44"/>
      <c r="K476" s="1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</row>
    <row r="477" spans="1:48" x14ac:dyDescent="0.2">
      <c r="C477" s="46"/>
      <c r="D477" s="46"/>
      <c r="E477" s="45"/>
      <c r="F477" s="45"/>
      <c r="G477" s="45"/>
      <c r="J477" s="44"/>
      <c r="K477" s="1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</row>
    <row r="478" spans="1:48" x14ac:dyDescent="0.2">
      <c r="C478" s="46"/>
      <c r="D478" s="46"/>
      <c r="E478" s="49"/>
      <c r="F478" s="45"/>
      <c r="G478" s="49"/>
      <c r="H478" s="49"/>
      <c r="J478" s="44"/>
      <c r="K478" s="1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</row>
    <row r="479" spans="1:48" x14ac:dyDescent="0.2">
      <c r="C479" s="46"/>
      <c r="D479" s="46"/>
      <c r="E479" s="45"/>
      <c r="F479" s="45"/>
      <c r="G479" s="45"/>
      <c r="J479" s="44"/>
      <c r="K479" s="1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</row>
    <row r="480" spans="1:48" x14ac:dyDescent="0.2">
      <c r="C480" s="46"/>
      <c r="D480" s="46"/>
      <c r="E480" s="45"/>
      <c r="F480" s="45"/>
      <c r="G480" s="45"/>
      <c r="J480" s="44"/>
      <c r="K480" s="1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</row>
    <row r="481" spans="1:48" x14ac:dyDescent="0.2">
      <c r="C481" s="46"/>
      <c r="D481" s="46"/>
      <c r="E481" s="45"/>
      <c r="F481" s="45"/>
      <c r="G481" s="49"/>
      <c r="H481" s="49"/>
      <c r="J481" s="44"/>
      <c r="K481" s="1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</row>
    <row r="482" spans="1:48" s="27" customFormat="1" x14ac:dyDescent="0.2">
      <c r="A482" s="43"/>
      <c r="B482" s="3"/>
      <c r="C482" s="46"/>
      <c r="D482" s="46"/>
      <c r="E482" s="49"/>
      <c r="F482" s="45"/>
      <c r="G482" s="54"/>
      <c r="H482" s="90"/>
      <c r="I482" s="45"/>
      <c r="J482" s="44"/>
      <c r="K482" s="1"/>
      <c r="L482" s="43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43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</row>
    <row r="483" spans="1:48" x14ac:dyDescent="0.2">
      <c r="C483" s="46"/>
      <c r="D483" s="46"/>
      <c r="E483" s="45"/>
      <c r="F483" s="45"/>
      <c r="G483" s="54"/>
      <c r="H483" s="90"/>
      <c r="J483" s="44"/>
      <c r="K483" s="1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</row>
    <row r="484" spans="1:48" x14ac:dyDescent="0.2">
      <c r="C484" s="46"/>
      <c r="D484" s="46"/>
      <c r="E484" s="45"/>
      <c r="F484" s="45"/>
      <c r="G484" s="54"/>
      <c r="H484" s="90"/>
      <c r="J484" s="44"/>
      <c r="K484" s="1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</row>
    <row r="485" spans="1:48" x14ac:dyDescent="0.2">
      <c r="C485" s="46"/>
      <c r="D485" s="46"/>
      <c r="E485" s="45"/>
      <c r="F485" s="45"/>
      <c r="G485" s="54"/>
      <c r="H485" s="90"/>
      <c r="J485" s="44"/>
      <c r="K485" s="1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</row>
    <row r="486" spans="1:48" x14ac:dyDescent="0.2">
      <c r="C486" s="46"/>
      <c r="D486" s="46"/>
      <c r="E486" s="45"/>
      <c r="F486" s="45"/>
      <c r="G486" s="45"/>
      <c r="J486" s="44"/>
      <c r="K486" s="1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</row>
    <row r="487" spans="1:48" x14ac:dyDescent="0.2">
      <c r="B487" s="49"/>
      <c r="C487" s="46"/>
      <c r="D487" s="46"/>
      <c r="E487" s="49"/>
      <c r="F487" s="45"/>
      <c r="G487" s="49"/>
      <c r="H487" s="49"/>
      <c r="J487" s="44"/>
      <c r="K487" s="1"/>
    </row>
    <row r="488" spans="1:48" x14ac:dyDescent="0.2">
      <c r="C488" s="46"/>
      <c r="D488" s="46"/>
      <c r="E488" s="45"/>
      <c r="F488" s="45"/>
      <c r="G488" s="53"/>
      <c r="H488" s="53"/>
      <c r="J488" s="44"/>
      <c r="K488" s="1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</row>
    <row r="489" spans="1:48" x14ac:dyDescent="0.2">
      <c r="C489" s="46"/>
      <c r="D489" s="46"/>
      <c r="E489" s="45"/>
      <c r="F489" s="45"/>
      <c r="G489" s="54"/>
      <c r="H489" s="90"/>
      <c r="J489" s="44"/>
      <c r="K489" s="1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</row>
    <row r="490" spans="1:48" x14ac:dyDescent="0.2">
      <c r="C490" s="46"/>
      <c r="D490" s="46"/>
      <c r="E490" s="49"/>
      <c r="F490" s="45"/>
      <c r="G490" s="54"/>
      <c r="H490" s="90"/>
      <c r="J490" s="44"/>
      <c r="K490" s="1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</row>
    <row r="491" spans="1:48" x14ac:dyDescent="0.2">
      <c r="C491" s="46"/>
      <c r="D491" s="46"/>
      <c r="E491" s="45"/>
      <c r="F491" s="45"/>
      <c r="G491" s="45"/>
      <c r="J491" s="44"/>
      <c r="K491" s="1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</row>
    <row r="492" spans="1:48" s="27" customFormat="1" x14ac:dyDescent="0.2">
      <c r="A492" s="43"/>
      <c r="B492" s="3"/>
      <c r="C492" s="46"/>
      <c r="D492" s="46"/>
      <c r="E492" s="45"/>
      <c r="F492" s="45"/>
      <c r="G492" s="49"/>
      <c r="H492" s="49"/>
      <c r="I492" s="45"/>
      <c r="J492" s="44"/>
      <c r="K492" s="1"/>
      <c r="L492" s="43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43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</row>
    <row r="493" spans="1:48" x14ac:dyDescent="0.2">
      <c r="C493" s="46"/>
      <c r="D493" s="46"/>
      <c r="E493" s="45"/>
      <c r="F493" s="45"/>
      <c r="G493" s="49"/>
      <c r="H493" s="49"/>
      <c r="J493" s="44"/>
      <c r="K493" s="1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</row>
    <row r="494" spans="1:48" x14ac:dyDescent="0.2">
      <c r="C494" s="46"/>
      <c r="D494" s="46"/>
      <c r="E494" s="45"/>
      <c r="F494" s="45"/>
      <c r="G494" s="45"/>
      <c r="J494" s="44"/>
      <c r="K494" s="1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</row>
    <row r="495" spans="1:48" x14ac:dyDescent="0.2">
      <c r="C495" s="46"/>
      <c r="D495" s="46"/>
      <c r="E495" s="45"/>
      <c r="F495" s="45"/>
      <c r="G495" s="49"/>
      <c r="H495" s="49"/>
      <c r="J495" s="44"/>
      <c r="K495" s="1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</row>
    <row r="496" spans="1:48" x14ac:dyDescent="0.2">
      <c r="C496" s="29"/>
      <c r="D496" s="29"/>
      <c r="E496" s="49"/>
      <c r="F496" s="28"/>
      <c r="G496" s="30"/>
      <c r="H496" s="49"/>
      <c r="J496" s="44"/>
      <c r="K496" s="1"/>
    </row>
    <row r="497" spans="1:48" x14ac:dyDescent="0.2">
      <c r="C497" s="46"/>
      <c r="D497" s="46"/>
      <c r="E497" s="45"/>
      <c r="F497" s="45"/>
      <c r="G497" s="45"/>
      <c r="J497" s="44"/>
      <c r="K497" s="1"/>
      <c r="L497" s="32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</row>
    <row r="498" spans="1:48" x14ac:dyDescent="0.2">
      <c r="C498" s="46"/>
      <c r="D498" s="46"/>
      <c r="E498" s="45"/>
      <c r="F498" s="45"/>
      <c r="G498" s="45"/>
      <c r="J498" s="44"/>
      <c r="K498" s="1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</row>
    <row r="499" spans="1:48" x14ac:dyDescent="0.2">
      <c r="C499" s="46"/>
      <c r="D499" s="46"/>
      <c r="E499" s="45"/>
      <c r="F499" s="45"/>
      <c r="G499" s="53"/>
      <c r="H499" s="53"/>
      <c r="J499" s="44"/>
      <c r="K499" s="1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</row>
    <row r="500" spans="1:48" x14ac:dyDescent="0.2">
      <c r="C500" s="46"/>
      <c r="D500" s="46"/>
      <c r="E500" s="49"/>
      <c r="F500" s="45"/>
      <c r="G500" s="49"/>
      <c r="H500" s="49"/>
      <c r="J500" s="44"/>
      <c r="K500" s="1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</row>
    <row r="501" spans="1:48" x14ac:dyDescent="0.2">
      <c r="C501" s="46"/>
      <c r="D501" s="29"/>
      <c r="E501" s="49"/>
      <c r="F501" s="28"/>
      <c r="G501" s="49"/>
      <c r="H501" s="49"/>
      <c r="J501" s="44"/>
      <c r="K501" s="1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</row>
    <row r="502" spans="1:48" x14ac:dyDescent="0.2">
      <c r="C502" s="46"/>
      <c r="D502" s="46"/>
      <c r="E502" s="45"/>
      <c r="F502" s="45"/>
      <c r="G502" s="49"/>
      <c r="H502" s="49"/>
      <c r="J502" s="44"/>
      <c r="K502" s="1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</row>
    <row r="503" spans="1:48" x14ac:dyDescent="0.2">
      <c r="C503" s="46"/>
      <c r="D503" s="46"/>
      <c r="E503" s="45"/>
      <c r="F503" s="45"/>
      <c r="G503" s="49"/>
      <c r="H503" s="49"/>
      <c r="J503" s="44"/>
      <c r="K503" s="1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</row>
    <row r="504" spans="1:48" x14ac:dyDescent="0.2">
      <c r="C504" s="46"/>
      <c r="D504" s="46"/>
      <c r="E504" s="45"/>
      <c r="F504" s="45"/>
      <c r="G504" s="45"/>
      <c r="J504" s="44"/>
      <c r="K504" s="1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</row>
    <row r="505" spans="1:48" x14ac:dyDescent="0.2">
      <c r="C505" s="24"/>
      <c r="D505" s="46"/>
      <c r="E505" s="45"/>
      <c r="F505" s="45"/>
      <c r="G505" s="45"/>
      <c r="J505" s="44"/>
      <c r="K505" s="1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</row>
    <row r="506" spans="1:48" s="27" customFormat="1" x14ac:dyDescent="0.2">
      <c r="A506" s="43"/>
      <c r="B506" s="3"/>
      <c r="C506" s="46"/>
      <c r="D506" s="46"/>
      <c r="E506" s="45"/>
      <c r="F506" s="45"/>
      <c r="G506" s="49"/>
      <c r="H506" s="49"/>
      <c r="I506" s="45"/>
      <c r="J506" s="44"/>
      <c r="K506" s="1"/>
      <c r="L506" s="43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43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</row>
    <row r="507" spans="1:48" s="27" customFormat="1" x14ac:dyDescent="0.2">
      <c r="A507" s="43"/>
      <c r="B507" s="3"/>
      <c r="C507" s="46"/>
      <c r="D507" s="46"/>
      <c r="E507" s="45"/>
      <c r="F507" s="45"/>
      <c r="G507" s="54"/>
      <c r="H507" s="90"/>
      <c r="I507" s="45"/>
      <c r="J507" s="44"/>
      <c r="K507" s="1"/>
      <c r="L507" s="43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43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</row>
    <row r="508" spans="1:48" s="27" customFormat="1" x14ac:dyDescent="0.2">
      <c r="A508" s="43"/>
      <c r="B508" s="3"/>
      <c r="C508" s="46"/>
      <c r="D508" s="46"/>
      <c r="E508" s="45"/>
      <c r="F508" s="45"/>
      <c r="G508" s="45"/>
      <c r="H508" s="85"/>
      <c r="I508" s="45"/>
      <c r="J508" s="44"/>
      <c r="K508" s="1"/>
      <c r="L508" s="43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43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</row>
    <row r="509" spans="1:48" x14ac:dyDescent="0.2">
      <c r="C509" s="46"/>
      <c r="D509" s="46"/>
      <c r="E509" s="49"/>
      <c r="F509" s="45"/>
      <c r="G509" s="54"/>
      <c r="H509" s="90"/>
      <c r="J509" s="44"/>
      <c r="K509" s="1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</row>
    <row r="510" spans="1:48" s="27" customFormat="1" x14ac:dyDescent="0.2">
      <c r="A510" s="43"/>
      <c r="B510" s="3"/>
      <c r="C510" s="46"/>
      <c r="D510" s="46"/>
      <c r="E510" s="45"/>
      <c r="F510" s="45"/>
      <c r="G510" s="49"/>
      <c r="H510" s="49"/>
      <c r="I510" s="45"/>
      <c r="J510" s="44"/>
      <c r="K510" s="1"/>
      <c r="L510" s="43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43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</row>
    <row r="511" spans="1:48" x14ac:dyDescent="0.2">
      <c r="C511" s="46"/>
      <c r="D511" s="46"/>
      <c r="E511" s="49"/>
      <c r="F511" s="45"/>
      <c r="G511" s="54"/>
      <c r="H511" s="90"/>
      <c r="J511" s="44"/>
      <c r="K511" s="1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</row>
    <row r="512" spans="1:48" s="27" customFormat="1" x14ac:dyDescent="0.2">
      <c r="A512" s="43"/>
      <c r="B512" s="3"/>
      <c r="C512" s="46"/>
      <c r="D512" s="46"/>
      <c r="E512" s="45"/>
      <c r="F512" s="45"/>
      <c r="G512" s="49"/>
      <c r="H512" s="49"/>
      <c r="I512" s="45"/>
      <c r="J512" s="44"/>
      <c r="K512" s="1"/>
      <c r="L512" s="43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43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</row>
    <row r="513" spans="3:48" x14ac:dyDescent="0.2">
      <c r="C513" s="46"/>
      <c r="D513" s="46"/>
      <c r="E513" s="45"/>
      <c r="F513" s="45"/>
      <c r="G513" s="45"/>
      <c r="J513" s="44"/>
      <c r="K513" s="1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</row>
    <row r="514" spans="3:48" x14ac:dyDescent="0.2">
      <c r="C514" s="46"/>
      <c r="D514" s="46"/>
      <c r="E514" s="45"/>
      <c r="F514" s="45"/>
      <c r="G514" s="54"/>
      <c r="H514" s="90"/>
      <c r="J514" s="44"/>
      <c r="K514" s="1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</row>
    <row r="515" spans="3:48" x14ac:dyDescent="0.2">
      <c r="C515" s="46"/>
      <c r="D515" s="46"/>
      <c r="E515" s="49"/>
      <c r="F515" s="45"/>
      <c r="G515" s="54"/>
      <c r="H515" s="90"/>
      <c r="J515" s="44"/>
      <c r="K515" s="1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</row>
    <row r="516" spans="3:48" x14ac:dyDescent="0.2">
      <c r="C516" s="46"/>
      <c r="D516" s="46"/>
      <c r="E516" s="45"/>
      <c r="F516" s="45"/>
      <c r="G516" s="45"/>
      <c r="J516" s="44"/>
      <c r="K516" s="1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</row>
    <row r="517" spans="3:48" x14ac:dyDescent="0.2">
      <c r="C517" s="46"/>
      <c r="D517" s="46"/>
      <c r="E517" s="45"/>
      <c r="F517" s="45"/>
      <c r="G517" s="49"/>
      <c r="H517" s="49"/>
      <c r="J517" s="44"/>
      <c r="K517" s="1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</row>
    <row r="518" spans="3:48" x14ac:dyDescent="0.2">
      <c r="C518" s="46"/>
      <c r="D518" s="46"/>
      <c r="E518" s="49"/>
      <c r="F518" s="45"/>
      <c r="G518" s="49"/>
      <c r="H518" s="49"/>
      <c r="J518" s="44"/>
      <c r="K518" s="1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</row>
    <row r="519" spans="3:48" x14ac:dyDescent="0.2">
      <c r="C519" s="46"/>
      <c r="D519" s="46"/>
      <c r="E519" s="45"/>
      <c r="F519" s="45"/>
      <c r="G519" s="49"/>
      <c r="H519" s="49"/>
      <c r="J519" s="44"/>
      <c r="K519" s="1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</row>
    <row r="520" spans="3:48" x14ac:dyDescent="0.2">
      <c r="C520" s="46"/>
      <c r="D520" s="46"/>
      <c r="E520" s="49"/>
      <c r="F520" s="45"/>
      <c r="G520" s="54"/>
      <c r="H520" s="90"/>
      <c r="J520" s="44"/>
      <c r="K520" s="1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</row>
    <row r="521" spans="3:48" x14ac:dyDescent="0.2">
      <c r="C521" s="46"/>
      <c r="D521" s="46"/>
      <c r="E521" s="45"/>
      <c r="F521" s="45"/>
      <c r="G521" s="54"/>
      <c r="H521" s="90"/>
      <c r="J521" s="44"/>
      <c r="K521" s="1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</row>
    <row r="522" spans="3:48" x14ac:dyDescent="0.2">
      <c r="C522" s="46"/>
      <c r="D522" s="46"/>
      <c r="E522" s="45"/>
      <c r="F522" s="45"/>
      <c r="G522" s="45"/>
      <c r="J522" s="44"/>
      <c r="K522" s="1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</row>
    <row r="523" spans="3:48" x14ac:dyDescent="0.2">
      <c r="C523" s="46"/>
      <c r="D523" s="46"/>
      <c r="E523" s="45"/>
      <c r="F523" s="45"/>
      <c r="G523" s="45"/>
      <c r="J523" s="44"/>
      <c r="K523" s="1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</row>
    <row r="524" spans="3:48" x14ac:dyDescent="0.2">
      <c r="C524" s="46"/>
      <c r="D524" s="46"/>
      <c r="E524" s="45"/>
      <c r="F524" s="45"/>
      <c r="G524" s="49"/>
      <c r="H524" s="49"/>
      <c r="J524" s="44"/>
      <c r="K524" s="1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</row>
    <row r="525" spans="3:48" x14ac:dyDescent="0.2">
      <c r="C525" s="46"/>
      <c r="D525" s="46"/>
      <c r="E525" s="47"/>
      <c r="F525" s="45"/>
      <c r="G525" s="49"/>
      <c r="H525" s="49"/>
      <c r="J525" s="44"/>
      <c r="K525" s="1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</row>
    <row r="526" spans="3:48" x14ac:dyDescent="0.2">
      <c r="C526" s="46"/>
      <c r="D526" s="46"/>
      <c r="E526" s="45"/>
      <c r="F526" s="45"/>
      <c r="G526" s="54"/>
      <c r="H526" s="90"/>
      <c r="J526" s="44"/>
      <c r="K526" s="1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</row>
    <row r="527" spans="3:48" x14ac:dyDescent="0.2">
      <c r="C527" s="46"/>
      <c r="D527" s="46"/>
      <c r="E527" s="45"/>
      <c r="F527" s="45"/>
      <c r="G527" s="45"/>
      <c r="J527" s="18"/>
      <c r="K527" s="1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</row>
    <row r="528" spans="3:48" x14ac:dyDescent="0.2">
      <c r="C528" s="46"/>
      <c r="D528" s="46"/>
      <c r="E528" s="50"/>
      <c r="F528" s="45"/>
      <c r="G528" s="49"/>
      <c r="H528" s="49"/>
      <c r="J528" s="44"/>
      <c r="K528" s="1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</row>
    <row r="529" spans="1:48" s="43" customFormat="1" x14ac:dyDescent="0.2">
      <c r="B529" s="3"/>
      <c r="C529" s="46"/>
      <c r="D529" s="46"/>
      <c r="E529" s="45"/>
      <c r="F529" s="45"/>
      <c r="G529" s="45"/>
      <c r="H529" s="85"/>
      <c r="I529" s="45"/>
      <c r="J529" s="44"/>
      <c r="K529" s="1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</row>
    <row r="530" spans="1:48" x14ac:dyDescent="0.2">
      <c r="C530" s="46"/>
      <c r="D530" s="46"/>
      <c r="E530" s="45"/>
      <c r="F530" s="45"/>
      <c r="G530" s="54"/>
      <c r="H530" s="90"/>
      <c r="J530" s="44"/>
      <c r="K530" s="1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</row>
    <row r="531" spans="1:48" x14ac:dyDescent="0.2">
      <c r="C531" s="46"/>
      <c r="D531" s="46"/>
      <c r="E531" s="45"/>
      <c r="F531" s="45"/>
      <c r="G531" s="45"/>
      <c r="J531" s="44"/>
      <c r="K531" s="1"/>
    </row>
    <row r="532" spans="1:48" x14ac:dyDescent="0.2">
      <c r="C532" s="29"/>
      <c r="D532" s="29"/>
      <c r="E532" s="30"/>
      <c r="F532" s="28"/>
      <c r="G532" s="30"/>
      <c r="H532" s="49"/>
      <c r="J532" s="44"/>
      <c r="K532" s="1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</row>
    <row r="533" spans="1:48" x14ac:dyDescent="0.2">
      <c r="C533" s="29"/>
      <c r="D533" s="29"/>
      <c r="E533" s="30"/>
      <c r="F533" s="28"/>
      <c r="G533" s="28"/>
      <c r="J533" s="44"/>
      <c r="K533" s="1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</row>
    <row r="534" spans="1:48" x14ac:dyDescent="0.2">
      <c r="C534" s="29"/>
      <c r="D534" s="29"/>
      <c r="E534" s="28"/>
      <c r="F534" s="28"/>
      <c r="G534" s="28"/>
      <c r="J534" s="44"/>
      <c r="K534" s="1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</row>
    <row r="535" spans="1:48" x14ac:dyDescent="0.2">
      <c r="C535" s="46"/>
      <c r="D535" s="46"/>
      <c r="E535" s="45"/>
      <c r="F535" s="45"/>
      <c r="G535" s="45"/>
      <c r="J535" s="44"/>
      <c r="K535" s="1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</row>
    <row r="536" spans="1:48" x14ac:dyDescent="0.2">
      <c r="C536" s="46"/>
      <c r="D536" s="46"/>
      <c r="E536" s="45"/>
      <c r="F536" s="45"/>
      <c r="G536" s="45"/>
      <c r="J536" s="44"/>
      <c r="K536" s="1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</row>
    <row r="537" spans="1:48" s="27" customFormat="1" x14ac:dyDescent="0.2">
      <c r="A537" s="43"/>
      <c r="B537" s="3"/>
      <c r="C537" s="46"/>
      <c r="D537" s="46"/>
      <c r="E537" s="49"/>
      <c r="F537" s="45"/>
      <c r="G537" s="54"/>
      <c r="H537" s="90"/>
      <c r="I537" s="45"/>
      <c r="J537" s="44"/>
      <c r="K537" s="1"/>
      <c r="L537" s="43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43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</row>
    <row r="538" spans="1:48" s="27" customFormat="1" x14ac:dyDescent="0.2">
      <c r="A538" s="43"/>
      <c r="B538" s="3"/>
      <c r="C538" s="46"/>
      <c r="D538" s="46"/>
      <c r="E538" s="45"/>
      <c r="F538" s="45"/>
      <c r="G538" s="49"/>
      <c r="H538" s="49"/>
      <c r="I538" s="45"/>
      <c r="J538" s="44"/>
      <c r="K538" s="1"/>
      <c r="L538" s="43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3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</row>
    <row r="539" spans="1:48" x14ac:dyDescent="0.2">
      <c r="C539" s="46"/>
      <c r="D539" s="46"/>
      <c r="E539" s="45"/>
      <c r="F539" s="45"/>
      <c r="G539" s="53"/>
      <c r="H539" s="53"/>
      <c r="J539" s="44"/>
      <c r="K539" s="1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</row>
    <row r="540" spans="1:48" x14ac:dyDescent="0.2">
      <c r="C540" s="24"/>
      <c r="D540" s="46"/>
      <c r="E540" s="45"/>
      <c r="F540" s="45"/>
      <c r="G540" s="45"/>
      <c r="J540" s="44"/>
      <c r="K540" s="1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</row>
    <row r="541" spans="1:48" x14ac:dyDescent="0.2">
      <c r="B541" s="28"/>
      <c r="C541" s="46"/>
      <c r="D541" s="46"/>
      <c r="E541" s="45"/>
      <c r="F541" s="45"/>
      <c r="G541" s="49"/>
      <c r="H541" s="49"/>
      <c r="J541" s="44"/>
      <c r="K541" s="1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</row>
    <row r="542" spans="1:48" x14ac:dyDescent="0.2">
      <c r="C542" s="46"/>
      <c r="D542" s="46"/>
      <c r="E542" s="45"/>
      <c r="F542" s="45"/>
      <c r="G542" s="54"/>
      <c r="H542" s="90"/>
      <c r="J542" s="44"/>
      <c r="K542" s="1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</row>
    <row r="543" spans="1:48" x14ac:dyDescent="0.2">
      <c r="C543" s="29"/>
      <c r="D543" s="9"/>
      <c r="E543" s="16"/>
      <c r="J543" s="44"/>
      <c r="K543" s="1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</row>
    <row r="544" spans="1:48" x14ac:dyDescent="0.2">
      <c r="C544" s="29"/>
      <c r="D544" s="29"/>
      <c r="E544" s="30"/>
      <c r="F544" s="28"/>
      <c r="G544" s="28"/>
      <c r="J544" s="44"/>
      <c r="K544" s="1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</row>
    <row r="545" spans="1:48" x14ac:dyDescent="0.2">
      <c r="C545" s="46"/>
      <c r="D545" s="46"/>
      <c r="E545" s="45"/>
      <c r="F545" s="45"/>
      <c r="G545" s="49"/>
      <c r="H545" s="49"/>
      <c r="J545" s="44"/>
      <c r="K545" s="1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</row>
    <row r="546" spans="1:48" x14ac:dyDescent="0.2">
      <c r="C546" s="46"/>
      <c r="D546" s="46"/>
      <c r="E546" s="45"/>
      <c r="F546" s="45"/>
      <c r="G546" s="45"/>
      <c r="J546" s="44"/>
      <c r="K546" s="1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</row>
    <row r="547" spans="1:48" x14ac:dyDescent="0.2">
      <c r="C547" s="46"/>
      <c r="D547" s="46"/>
      <c r="E547" s="45"/>
      <c r="F547" s="45"/>
      <c r="G547" s="45"/>
      <c r="J547" s="44"/>
      <c r="K547" s="1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</row>
    <row r="548" spans="1:48" x14ac:dyDescent="0.2">
      <c r="C548" s="46"/>
      <c r="D548" s="46"/>
      <c r="E548" s="45"/>
      <c r="F548" s="45"/>
      <c r="G548" s="49"/>
      <c r="H548" s="49"/>
      <c r="J548" s="44"/>
      <c r="K548" s="1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</row>
    <row r="549" spans="1:48" x14ac:dyDescent="0.2">
      <c r="C549" s="46"/>
      <c r="D549" s="46"/>
      <c r="E549" s="45"/>
      <c r="F549" s="45"/>
      <c r="G549" s="53"/>
      <c r="H549" s="53"/>
      <c r="J549" s="44"/>
      <c r="K549" s="1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</row>
    <row r="550" spans="1:48" s="27" customFormat="1" x14ac:dyDescent="0.2">
      <c r="A550" s="43"/>
      <c r="B550" s="3"/>
      <c r="C550" s="46"/>
      <c r="D550" s="46"/>
      <c r="E550" s="45"/>
      <c r="F550" s="45"/>
      <c r="G550" s="45"/>
      <c r="H550" s="85"/>
      <c r="I550" s="45"/>
      <c r="J550" s="42"/>
      <c r="K550" s="1"/>
      <c r="L550" s="43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43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</row>
    <row r="551" spans="1:48" x14ac:dyDescent="0.2">
      <c r="C551" s="46"/>
      <c r="D551" s="46"/>
      <c r="E551" s="45"/>
      <c r="F551" s="45"/>
      <c r="G551" s="49"/>
      <c r="H551" s="49"/>
      <c r="J551" s="44"/>
      <c r="K551" s="1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</row>
    <row r="552" spans="1:48" x14ac:dyDescent="0.2">
      <c r="C552" s="46"/>
      <c r="D552" s="46"/>
      <c r="E552" s="45"/>
      <c r="F552" s="45"/>
      <c r="G552" s="45"/>
      <c r="J552" s="44"/>
      <c r="K552" s="1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</row>
    <row r="553" spans="1:48" x14ac:dyDescent="0.2">
      <c r="C553" s="46"/>
      <c r="D553" s="46"/>
      <c r="E553" s="45"/>
      <c r="F553" s="45"/>
      <c r="G553" s="49"/>
      <c r="H553" s="49"/>
      <c r="J553" s="44"/>
      <c r="K553" s="1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</row>
    <row r="554" spans="1:48" x14ac:dyDescent="0.2">
      <c r="C554" s="46"/>
      <c r="D554" s="46"/>
      <c r="E554" s="45"/>
      <c r="F554" s="45"/>
      <c r="G554" s="49"/>
      <c r="H554" s="49"/>
      <c r="J554" s="44"/>
      <c r="K554" s="1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</row>
    <row r="555" spans="1:48" x14ac:dyDescent="0.2">
      <c r="B555" s="28"/>
      <c r="C555" s="29"/>
      <c r="D555" s="29"/>
      <c r="E555" s="28"/>
      <c r="F555" s="28"/>
      <c r="G555" s="28"/>
      <c r="J555" s="44"/>
      <c r="K555" s="1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</row>
    <row r="556" spans="1:48" x14ac:dyDescent="0.2">
      <c r="C556" s="46"/>
      <c r="D556" s="46"/>
      <c r="E556" s="45"/>
      <c r="F556" s="45"/>
      <c r="G556" s="49"/>
      <c r="H556" s="49"/>
      <c r="J556" s="44"/>
      <c r="K556" s="1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</row>
    <row r="557" spans="1:48" x14ac:dyDescent="0.2">
      <c r="C557" s="46"/>
      <c r="D557" s="46"/>
      <c r="E557" s="49"/>
      <c r="F557" s="45"/>
      <c r="G557" s="54"/>
      <c r="H557" s="90"/>
      <c r="J557" s="44"/>
      <c r="K557" s="1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</row>
    <row r="558" spans="1:48" x14ac:dyDescent="0.2">
      <c r="C558" s="29"/>
      <c r="D558" s="29"/>
      <c r="E558" s="28"/>
      <c r="F558" s="28"/>
      <c r="G558" s="28"/>
      <c r="J558" s="44"/>
      <c r="K558" s="1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</row>
    <row r="559" spans="1:48" x14ac:dyDescent="0.2">
      <c r="C559" s="46"/>
      <c r="D559" s="46"/>
      <c r="E559" s="45"/>
      <c r="F559" s="45"/>
      <c r="G559" s="45"/>
      <c r="J559" s="44"/>
      <c r="K559" s="1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</row>
    <row r="560" spans="1:48" x14ac:dyDescent="0.2">
      <c r="C560" s="46"/>
      <c r="D560" s="46"/>
      <c r="E560" s="45"/>
      <c r="F560" s="45"/>
      <c r="G560" s="49"/>
      <c r="H560" s="49"/>
      <c r="J560" s="44"/>
      <c r="K560" s="1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</row>
    <row r="561" spans="2:48" x14ac:dyDescent="0.2">
      <c r="C561" s="46"/>
      <c r="D561" s="46"/>
      <c r="E561" s="49"/>
      <c r="F561" s="45"/>
      <c r="G561" s="54"/>
      <c r="H561" s="90"/>
      <c r="J561" s="44"/>
      <c r="K561" s="1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</row>
    <row r="562" spans="2:48" x14ac:dyDescent="0.2">
      <c r="C562" s="46"/>
      <c r="D562" s="46"/>
      <c r="E562" s="45"/>
      <c r="F562" s="45"/>
      <c r="G562" s="49"/>
      <c r="H562" s="49"/>
      <c r="J562" s="44"/>
      <c r="K562" s="1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</row>
    <row r="563" spans="2:48" x14ac:dyDescent="0.2">
      <c r="C563" s="46"/>
      <c r="D563" s="46"/>
      <c r="E563" s="45"/>
      <c r="F563" s="45"/>
      <c r="G563" s="45"/>
      <c r="J563" s="44"/>
      <c r="K563" s="1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</row>
    <row r="564" spans="2:48" x14ac:dyDescent="0.2">
      <c r="C564" s="29"/>
      <c r="D564" s="29"/>
      <c r="E564" s="30"/>
      <c r="F564" s="28"/>
      <c r="G564" s="30"/>
      <c r="H564" s="49"/>
      <c r="J564" s="44"/>
      <c r="K564" s="1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</row>
    <row r="565" spans="2:48" x14ac:dyDescent="0.2">
      <c r="D565" s="9"/>
      <c r="E565" s="47"/>
      <c r="G565" s="47"/>
      <c r="H565" s="47"/>
      <c r="J565" s="44"/>
      <c r="K565" s="1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</row>
    <row r="566" spans="2:48" x14ac:dyDescent="0.2">
      <c r="C566" s="46"/>
      <c r="D566" s="46"/>
      <c r="E566" s="45"/>
      <c r="F566" s="45"/>
      <c r="G566" s="45"/>
      <c r="J566" s="44"/>
      <c r="K566" s="1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</row>
    <row r="567" spans="2:48" x14ac:dyDescent="0.2">
      <c r="C567" s="29"/>
      <c r="D567" s="29"/>
      <c r="E567" s="28"/>
      <c r="F567" s="28"/>
      <c r="G567" s="28"/>
      <c r="J567" s="44"/>
      <c r="K567" s="1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</row>
    <row r="568" spans="2:48" x14ac:dyDescent="0.2">
      <c r="C568" s="29"/>
      <c r="D568" s="29"/>
      <c r="E568" s="30"/>
      <c r="F568" s="28"/>
      <c r="G568" s="28"/>
      <c r="J568" s="44"/>
      <c r="K568" s="1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</row>
    <row r="569" spans="2:48" x14ac:dyDescent="0.2">
      <c r="C569" s="31"/>
      <c r="D569" s="29"/>
      <c r="E569" s="28"/>
      <c r="F569" s="28"/>
      <c r="G569" s="28"/>
      <c r="J569" s="44"/>
      <c r="K569" s="1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</row>
    <row r="570" spans="2:48" x14ac:dyDescent="0.2">
      <c r="C570" s="29"/>
      <c r="D570" s="9"/>
      <c r="J570" s="44"/>
      <c r="K570" s="1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</row>
    <row r="571" spans="2:48" x14ac:dyDescent="0.2">
      <c r="B571" s="5"/>
      <c r="C571" s="29"/>
      <c r="D571" s="46"/>
      <c r="E571" s="28"/>
      <c r="F571" s="28"/>
      <c r="G571" s="28"/>
      <c r="J571" s="44"/>
      <c r="K571" s="1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</row>
    <row r="572" spans="2:48" x14ac:dyDescent="0.2">
      <c r="C572" s="46"/>
      <c r="D572" s="46"/>
      <c r="E572" s="49"/>
      <c r="F572" s="45"/>
      <c r="G572" s="49"/>
      <c r="H572" s="49"/>
      <c r="J572" s="44"/>
      <c r="K572" s="1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</row>
    <row r="573" spans="2:48" x14ac:dyDescent="0.2">
      <c r="C573" s="29"/>
      <c r="D573" s="29"/>
      <c r="E573" s="28"/>
      <c r="F573" s="28"/>
      <c r="G573" s="28"/>
      <c r="J573" s="44"/>
      <c r="K573" s="1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</row>
    <row r="574" spans="2:48" x14ac:dyDescent="0.2">
      <c r="C574" s="46"/>
      <c r="D574" s="46"/>
      <c r="E574" s="45"/>
      <c r="F574" s="45"/>
      <c r="G574" s="45"/>
      <c r="J574" s="44"/>
      <c r="K574" s="1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</row>
    <row r="575" spans="2:48" x14ac:dyDescent="0.2">
      <c r="C575" s="29"/>
      <c r="D575" s="29"/>
      <c r="E575" s="28"/>
      <c r="F575" s="28"/>
      <c r="G575" s="28"/>
      <c r="J575" s="44"/>
      <c r="K575" s="1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</row>
    <row r="576" spans="2:48" x14ac:dyDescent="0.2">
      <c r="C576" s="29"/>
      <c r="D576" s="29"/>
      <c r="E576" s="28"/>
      <c r="F576" s="28"/>
      <c r="G576" s="28"/>
      <c r="J576" s="44"/>
      <c r="K576" s="1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</row>
    <row r="577" spans="3:48" x14ac:dyDescent="0.2">
      <c r="C577" s="29"/>
      <c r="D577" s="29"/>
      <c r="E577" s="28"/>
      <c r="F577" s="28"/>
      <c r="G577" s="28"/>
      <c r="J577" s="44"/>
      <c r="K577" s="1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</row>
    <row r="578" spans="3:48" x14ac:dyDescent="0.2">
      <c r="C578" s="46"/>
      <c r="D578" s="46"/>
      <c r="E578" s="45"/>
      <c r="F578" s="45"/>
      <c r="G578" s="45"/>
      <c r="J578" s="44"/>
      <c r="K578" s="1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</row>
    <row r="579" spans="3:48" x14ac:dyDescent="0.2">
      <c r="C579" s="46"/>
      <c r="D579" s="46"/>
      <c r="E579" s="49"/>
      <c r="F579" s="45"/>
      <c r="G579" s="49"/>
      <c r="H579" s="49"/>
      <c r="J579" s="44"/>
      <c r="K579" s="1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</row>
    <row r="580" spans="3:48" x14ac:dyDescent="0.2">
      <c r="C580" s="46"/>
      <c r="D580" s="46"/>
      <c r="E580" s="45"/>
      <c r="F580" s="45"/>
      <c r="G580" s="49"/>
      <c r="H580" s="49"/>
      <c r="J580" s="44"/>
      <c r="K580" s="1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</row>
    <row r="581" spans="3:48" x14ac:dyDescent="0.2">
      <c r="C581" s="46"/>
      <c r="D581" s="46"/>
      <c r="E581" s="45"/>
      <c r="F581" s="45"/>
      <c r="G581" s="49"/>
      <c r="H581" s="49"/>
      <c r="J581" s="44"/>
      <c r="K581" s="1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</row>
    <row r="582" spans="3:48" x14ac:dyDescent="0.2">
      <c r="C582" s="46"/>
      <c r="D582" s="46"/>
      <c r="E582" s="49"/>
      <c r="F582" s="45"/>
      <c r="G582" s="49"/>
      <c r="H582" s="49"/>
      <c r="J582" s="44"/>
      <c r="K582" s="1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</row>
    <row r="583" spans="3:48" x14ac:dyDescent="0.2">
      <c r="C583" s="29"/>
      <c r="D583" s="29"/>
      <c r="E583" s="28"/>
      <c r="F583" s="28"/>
      <c r="G583" s="28"/>
      <c r="J583" s="44"/>
      <c r="K583" s="1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</row>
    <row r="584" spans="3:48" x14ac:dyDescent="0.2">
      <c r="C584" s="29"/>
      <c r="D584" s="29"/>
      <c r="J584" s="44"/>
      <c r="K584" s="1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</row>
    <row r="585" spans="3:48" x14ac:dyDescent="0.2">
      <c r="C585" s="46"/>
      <c r="D585" s="46"/>
      <c r="E585" s="49"/>
      <c r="F585" s="45"/>
      <c r="G585" s="49"/>
      <c r="H585" s="49"/>
      <c r="J585" s="44"/>
      <c r="K585" s="1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</row>
    <row r="586" spans="3:48" x14ac:dyDescent="0.2">
      <c r="C586" s="46"/>
      <c r="D586" s="46"/>
      <c r="E586" s="49"/>
      <c r="F586" s="45"/>
      <c r="G586" s="49"/>
      <c r="H586" s="49"/>
      <c r="J586" s="44"/>
      <c r="K586" s="1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</row>
    <row r="587" spans="3:48" x14ac:dyDescent="0.2">
      <c r="C587" s="48"/>
      <c r="D587" s="46"/>
      <c r="E587" s="47"/>
      <c r="F587" s="45"/>
      <c r="G587" s="47"/>
      <c r="H587" s="47"/>
      <c r="J587" s="44"/>
      <c r="K587" s="1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</row>
    <row r="588" spans="3:48" x14ac:dyDescent="0.2">
      <c r="C588" s="46"/>
      <c r="D588" s="46"/>
      <c r="E588" s="45"/>
      <c r="F588" s="45"/>
      <c r="G588" s="45"/>
      <c r="J588" s="44"/>
      <c r="K588" s="1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</row>
    <row r="589" spans="3:48" x14ac:dyDescent="0.2">
      <c r="C589" s="46"/>
      <c r="D589" s="9"/>
      <c r="E589" s="7"/>
      <c r="G589" s="49"/>
      <c r="H589" s="49"/>
      <c r="J589" s="44"/>
      <c r="K589" s="1"/>
    </row>
    <row r="590" spans="3:48" x14ac:dyDescent="0.2">
      <c r="C590" s="46"/>
      <c r="D590" s="29"/>
      <c r="E590" s="49"/>
      <c r="G590" s="54"/>
      <c r="H590" s="90"/>
      <c r="J590" s="44"/>
      <c r="K590" s="1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</row>
    <row r="591" spans="3:48" x14ac:dyDescent="0.2">
      <c r="C591" s="29"/>
      <c r="D591" s="9"/>
      <c r="J591" s="44"/>
      <c r="K591" s="1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</row>
    <row r="592" spans="3:48" x14ac:dyDescent="0.2">
      <c r="C592" s="29"/>
      <c r="D592" s="9"/>
      <c r="J592" s="44"/>
      <c r="K592" s="1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</row>
    <row r="593" spans="3:48" x14ac:dyDescent="0.2">
      <c r="C593" s="46"/>
      <c r="D593" s="46"/>
      <c r="E593" s="45"/>
      <c r="F593" s="45"/>
      <c r="G593" s="45"/>
      <c r="J593" s="44"/>
      <c r="K593" s="1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</row>
    <row r="594" spans="3:48" x14ac:dyDescent="0.2">
      <c r="C594" s="46"/>
      <c r="D594" s="46"/>
      <c r="E594" s="49"/>
      <c r="F594" s="45"/>
      <c r="G594" s="49"/>
      <c r="H594" s="49"/>
      <c r="J594" s="44"/>
      <c r="K594" s="1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</row>
    <row r="595" spans="3:48" x14ac:dyDescent="0.2">
      <c r="C595" s="46"/>
      <c r="D595" s="46"/>
      <c r="E595" s="45"/>
      <c r="F595" s="45"/>
      <c r="G595" s="49"/>
      <c r="H595" s="49"/>
      <c r="J595" s="44"/>
      <c r="K595" s="1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</row>
    <row r="596" spans="3:48" x14ac:dyDescent="0.2">
      <c r="C596" s="46"/>
      <c r="D596" s="46"/>
      <c r="E596" s="45"/>
      <c r="F596" s="45"/>
      <c r="G596" s="49"/>
      <c r="H596" s="49"/>
      <c r="J596" s="44"/>
      <c r="K596" s="1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</row>
    <row r="597" spans="3:48" x14ac:dyDescent="0.2">
      <c r="C597" s="46"/>
      <c r="D597" s="46"/>
      <c r="E597" s="49"/>
      <c r="F597" s="45"/>
      <c r="G597" s="49"/>
      <c r="H597" s="49"/>
      <c r="J597" s="44"/>
      <c r="K597" s="1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</row>
    <row r="598" spans="3:48" x14ac:dyDescent="0.2">
      <c r="C598" s="29"/>
      <c r="D598" s="29"/>
      <c r="E598" s="28"/>
      <c r="F598" s="28"/>
      <c r="G598" s="28"/>
      <c r="J598" s="44"/>
      <c r="K598" s="1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</row>
    <row r="599" spans="3:48" x14ac:dyDescent="0.2">
      <c r="C599" s="9"/>
      <c r="D599" s="9"/>
      <c r="K599" s="1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</row>
    <row r="600" spans="3:48" x14ac:dyDescent="0.2">
      <c r="C600" s="9"/>
      <c r="K600" s="1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</row>
    <row r="601" spans="3:48" x14ac:dyDescent="0.2">
      <c r="C601" s="12"/>
      <c r="D601" s="9"/>
      <c r="E601" s="7"/>
      <c r="G601" s="7"/>
      <c r="H601" s="47"/>
      <c r="J601" s="18"/>
      <c r="K601" s="1"/>
    </row>
    <row r="602" spans="3:48" x14ac:dyDescent="0.2">
      <c r="C602" s="9"/>
      <c r="K602" s="1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</row>
    <row r="603" spans="3:48" x14ac:dyDescent="0.2">
      <c r="C603" s="9"/>
      <c r="K603" s="1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</row>
    <row r="604" spans="3:48" x14ac:dyDescent="0.2">
      <c r="C604" s="9"/>
      <c r="D604" s="9"/>
      <c r="K604" s="1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</row>
    <row r="605" spans="3:48" x14ac:dyDescent="0.2">
      <c r="C605" s="9"/>
      <c r="D605" s="9"/>
      <c r="E605" s="16"/>
      <c r="G605" s="16"/>
      <c r="H605" s="49"/>
      <c r="K605" s="1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</row>
    <row r="606" spans="3:48" x14ac:dyDescent="0.2">
      <c r="C606" s="9"/>
      <c r="K606" s="1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</row>
    <row r="607" spans="3:48" x14ac:dyDescent="0.2">
      <c r="C607" s="12"/>
      <c r="E607" s="7"/>
      <c r="G607" s="7"/>
      <c r="H607" s="47"/>
      <c r="K607" s="1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</row>
    <row r="608" spans="3:48" x14ac:dyDescent="0.2">
      <c r="C608" s="9"/>
      <c r="K608" s="1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</row>
    <row r="609" spans="3:48" x14ac:dyDescent="0.2">
      <c r="C609" s="2"/>
      <c r="K609" s="1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</row>
    <row r="610" spans="3:48" x14ac:dyDescent="0.2">
      <c r="C610" s="9"/>
      <c r="K610" s="1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</row>
    <row r="611" spans="3:48" x14ac:dyDescent="0.2">
      <c r="C611" s="12"/>
      <c r="E611" s="7"/>
      <c r="G611" s="7"/>
      <c r="H611" s="47"/>
      <c r="K611" s="1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</row>
    <row r="612" spans="3:48" x14ac:dyDescent="0.2">
      <c r="C612" s="9"/>
      <c r="K612" s="1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</row>
    <row r="613" spans="3:48" x14ac:dyDescent="0.2">
      <c r="C613" s="9"/>
      <c r="K613" s="1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</row>
    <row r="614" spans="3:48" x14ac:dyDescent="0.2">
      <c r="C614" s="9"/>
      <c r="K614" s="1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</row>
    <row r="615" spans="3:48" x14ac:dyDescent="0.2">
      <c r="C615" s="10"/>
      <c r="D615" s="17"/>
      <c r="E615" s="17"/>
      <c r="F615" s="17"/>
      <c r="G615" s="14"/>
      <c r="H615" s="14"/>
      <c r="I615" s="50"/>
      <c r="J615" s="15"/>
      <c r="K615" s="1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</row>
    <row r="616" spans="3:48" x14ac:dyDescent="0.2">
      <c r="C616" s="10"/>
      <c r="I616" s="50"/>
      <c r="J616" s="15"/>
      <c r="K616" s="1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</row>
    <row r="617" spans="3:48" x14ac:dyDescent="0.2">
      <c r="C617" s="9"/>
      <c r="D617" s="17"/>
      <c r="E617" s="17"/>
      <c r="F617" s="17"/>
      <c r="G617" s="17"/>
      <c r="H617" s="17"/>
      <c r="I617" s="17"/>
      <c r="J617" s="18"/>
      <c r="K617" s="1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</row>
    <row r="618" spans="3:48" x14ac:dyDescent="0.2">
      <c r="C618" s="9"/>
      <c r="K618" s="1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</row>
    <row r="619" spans="3:48" x14ac:dyDescent="0.2">
      <c r="C619" s="9"/>
      <c r="E619" s="7"/>
      <c r="G619" s="6"/>
      <c r="H619" s="6"/>
      <c r="K619" s="1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</row>
    <row r="620" spans="3:48" x14ac:dyDescent="0.2">
      <c r="C620" s="9"/>
      <c r="K620" s="1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</row>
    <row r="621" spans="3:48" x14ac:dyDescent="0.2">
      <c r="C621" s="9"/>
      <c r="K621" s="1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</row>
    <row r="622" spans="3:48" x14ac:dyDescent="0.2">
      <c r="C622" s="9"/>
      <c r="K622" s="1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</row>
    <row r="623" spans="3:48" x14ac:dyDescent="0.2">
      <c r="C623" s="9"/>
      <c r="K623" s="1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</row>
    <row r="624" spans="3:48" x14ac:dyDescent="0.2">
      <c r="C624" s="9"/>
      <c r="K624" s="1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</row>
    <row r="625" spans="3:48" x14ac:dyDescent="0.2">
      <c r="C625" s="9"/>
      <c r="K625" s="1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</row>
    <row r="626" spans="3:48" x14ac:dyDescent="0.2">
      <c r="C626" s="9"/>
      <c r="K626" s="1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</row>
    <row r="627" spans="3:48" x14ac:dyDescent="0.2">
      <c r="C627" s="9"/>
      <c r="K627" s="1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</row>
    <row r="628" spans="3:48" x14ac:dyDescent="0.2">
      <c r="C628" s="9"/>
      <c r="K628" s="1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</row>
    <row r="629" spans="3:48" x14ac:dyDescent="0.2">
      <c r="C629" s="9"/>
      <c r="K629" s="1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</row>
    <row r="630" spans="3:48" x14ac:dyDescent="0.2">
      <c r="C630" s="9"/>
      <c r="K630" s="1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</row>
    <row r="631" spans="3:48" x14ac:dyDescent="0.2">
      <c r="C631" s="9"/>
      <c r="K631" s="1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</row>
    <row r="632" spans="3:48" x14ac:dyDescent="0.2">
      <c r="C632" s="9"/>
      <c r="K632" s="1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</row>
    <row r="633" spans="3:48" x14ac:dyDescent="0.2">
      <c r="C633" s="9"/>
      <c r="K633" s="1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</row>
    <row r="634" spans="3:48" x14ac:dyDescent="0.2">
      <c r="C634" s="9"/>
      <c r="K634" s="1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</row>
    <row r="635" spans="3:48" x14ac:dyDescent="0.2">
      <c r="C635" s="9"/>
      <c r="K635" s="1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</row>
    <row r="636" spans="3:48" x14ac:dyDescent="0.2">
      <c r="C636" s="9"/>
      <c r="K636" s="1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</row>
    <row r="637" spans="3:48" x14ac:dyDescent="0.2">
      <c r="C637" s="9"/>
      <c r="K637" s="1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</row>
    <row r="638" spans="3:48" x14ac:dyDescent="0.2">
      <c r="C638" s="9"/>
      <c r="K638" s="1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</row>
    <row r="639" spans="3:48" x14ac:dyDescent="0.2">
      <c r="C639" s="9"/>
      <c r="K639" s="1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</row>
    <row r="640" spans="3:48" x14ac:dyDescent="0.2">
      <c r="C640" s="9"/>
      <c r="K640" s="1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B640" s="86"/>
      <c r="AC640" s="86"/>
      <c r="AD640" s="86"/>
      <c r="AE640" s="86"/>
      <c r="AF640" s="86"/>
      <c r="AG640" s="86"/>
      <c r="AH640" s="86"/>
      <c r="AI640" s="86"/>
      <c r="AJ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</row>
    <row r="641" spans="3:48" x14ac:dyDescent="0.2">
      <c r="C641" s="9"/>
      <c r="K641" s="1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</row>
    <row r="642" spans="3:48" x14ac:dyDescent="0.2">
      <c r="C642" s="9"/>
      <c r="K642" s="1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</row>
    <row r="643" spans="3:48" x14ac:dyDescent="0.2">
      <c r="C643" s="9"/>
      <c r="K643" s="1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</row>
    <row r="644" spans="3:48" x14ac:dyDescent="0.2">
      <c r="C644" s="9"/>
      <c r="K644" s="1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B644" s="86"/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</row>
    <row r="645" spans="3:48" x14ac:dyDescent="0.2">
      <c r="C645" s="9"/>
      <c r="K645" s="1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</row>
    <row r="646" spans="3:48" x14ac:dyDescent="0.2">
      <c r="C646" s="9"/>
      <c r="K646" s="1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</row>
    <row r="647" spans="3:48" x14ac:dyDescent="0.2">
      <c r="C647" s="9"/>
      <c r="K647" s="1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</row>
    <row r="648" spans="3:48" x14ac:dyDescent="0.2">
      <c r="C648" s="9"/>
      <c r="K648" s="1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</row>
    <row r="649" spans="3:48" x14ac:dyDescent="0.2">
      <c r="C649" s="9"/>
      <c r="K649" s="1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</row>
    <row r="650" spans="3:48" x14ac:dyDescent="0.2">
      <c r="C650" s="9"/>
      <c r="K650" s="1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</row>
    <row r="651" spans="3:48" x14ac:dyDescent="0.2">
      <c r="C651" s="9"/>
      <c r="K651" s="1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</row>
    <row r="652" spans="3:48" x14ac:dyDescent="0.2">
      <c r="C652" s="9"/>
      <c r="K652" s="1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B652" s="86"/>
      <c r="AC652" s="86"/>
      <c r="AD652" s="86"/>
      <c r="AE652" s="86"/>
      <c r="AF652" s="86"/>
      <c r="AG652" s="86"/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</row>
    <row r="653" spans="3:48" x14ac:dyDescent="0.2">
      <c r="C653" s="9"/>
      <c r="K653" s="1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</row>
    <row r="654" spans="3:48" x14ac:dyDescent="0.2">
      <c r="C654" s="9"/>
      <c r="K654" s="1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</row>
    <row r="655" spans="3:48" x14ac:dyDescent="0.2">
      <c r="C655" s="9"/>
      <c r="K655" s="1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</row>
    <row r="656" spans="3:48" x14ac:dyDescent="0.2">
      <c r="C656" s="9"/>
      <c r="K656" s="1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</row>
    <row r="657" spans="3:48" x14ac:dyDescent="0.2">
      <c r="C657" s="9"/>
      <c r="K657" s="1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</row>
    <row r="658" spans="3:48" x14ac:dyDescent="0.2">
      <c r="C658" s="9"/>
      <c r="K658" s="1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</row>
    <row r="659" spans="3:48" x14ac:dyDescent="0.2">
      <c r="C659" s="9"/>
      <c r="K659" s="1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</row>
    <row r="660" spans="3:48" x14ac:dyDescent="0.2">
      <c r="C660" s="9"/>
      <c r="K660" s="1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</row>
    <row r="661" spans="3:48" x14ac:dyDescent="0.2">
      <c r="C661" s="9"/>
      <c r="K661" s="1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</row>
    <row r="662" spans="3:48" x14ac:dyDescent="0.2">
      <c r="C662" s="9"/>
      <c r="K662" s="1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</row>
    <row r="663" spans="3:48" x14ac:dyDescent="0.2">
      <c r="C663" s="9"/>
      <c r="K663" s="1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</row>
    <row r="664" spans="3:48" x14ac:dyDescent="0.2">
      <c r="C664" s="9"/>
      <c r="K664" s="1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</row>
    <row r="665" spans="3:48" x14ac:dyDescent="0.2">
      <c r="C665" s="9"/>
      <c r="K665" s="1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</row>
    <row r="666" spans="3:48" x14ac:dyDescent="0.2">
      <c r="C666" s="9"/>
      <c r="K666" s="1"/>
    </row>
    <row r="667" spans="3:48" x14ac:dyDescent="0.2">
      <c r="C667" s="9"/>
      <c r="K667" s="1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</row>
    <row r="668" spans="3:48" x14ac:dyDescent="0.2">
      <c r="C668" s="9"/>
      <c r="K668" s="1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</row>
    <row r="669" spans="3:48" x14ac:dyDescent="0.2">
      <c r="C669" s="9"/>
      <c r="K669" s="1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</row>
    <row r="670" spans="3:48" x14ac:dyDescent="0.2">
      <c r="C670" s="9"/>
      <c r="K670" s="1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</row>
    <row r="671" spans="3:48" x14ac:dyDescent="0.2">
      <c r="C671" s="9"/>
      <c r="K671" s="1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</row>
    <row r="672" spans="3:48" x14ac:dyDescent="0.2">
      <c r="C672" s="9"/>
      <c r="K672" s="1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</row>
    <row r="673" spans="3:48" x14ac:dyDescent="0.2">
      <c r="C673" s="9"/>
      <c r="K673" s="1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</row>
    <row r="674" spans="3:48" x14ac:dyDescent="0.2">
      <c r="C674" s="9"/>
      <c r="K674" s="1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</row>
    <row r="675" spans="3:48" x14ac:dyDescent="0.2">
      <c r="C675" s="9"/>
      <c r="K675" s="1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</row>
    <row r="676" spans="3:48" x14ac:dyDescent="0.2">
      <c r="C676" s="9"/>
      <c r="K676" s="1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</row>
    <row r="677" spans="3:48" x14ac:dyDescent="0.2">
      <c r="C677" s="9"/>
      <c r="K677" s="1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</row>
    <row r="678" spans="3:48" x14ac:dyDescent="0.2">
      <c r="C678" s="9"/>
      <c r="K678" s="1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</row>
    <row r="679" spans="3:48" x14ac:dyDescent="0.2">
      <c r="C679" s="9"/>
      <c r="K679" s="1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</row>
    <row r="680" spans="3:48" x14ac:dyDescent="0.2">
      <c r="C680" s="9"/>
      <c r="K680" s="1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</row>
    <row r="681" spans="3:48" x14ac:dyDescent="0.2">
      <c r="C681" s="9"/>
      <c r="K681" s="1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</row>
    <row r="682" spans="3:48" x14ac:dyDescent="0.2">
      <c r="C682" s="9"/>
      <c r="K682" s="1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</row>
    <row r="683" spans="3:48" x14ac:dyDescent="0.2">
      <c r="C683" s="9"/>
      <c r="K683" s="1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B683" s="86"/>
      <c r="AC683" s="86"/>
      <c r="AD683" s="86"/>
      <c r="AE683" s="86"/>
      <c r="AF683" s="86"/>
      <c r="AG683" s="86"/>
      <c r="AH683" s="86"/>
      <c r="AI683" s="86"/>
      <c r="AJ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</row>
    <row r="684" spans="3:48" x14ac:dyDescent="0.2">
      <c r="C684" s="9"/>
      <c r="K684" s="1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</row>
    <row r="685" spans="3:48" x14ac:dyDescent="0.2">
      <c r="C685" s="9"/>
      <c r="K685" s="1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</row>
    <row r="686" spans="3:48" x14ac:dyDescent="0.2">
      <c r="C686" s="9"/>
      <c r="K686" s="1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</row>
    <row r="687" spans="3:48" x14ac:dyDescent="0.2">
      <c r="C687" s="9"/>
      <c r="K687" s="1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</row>
    <row r="688" spans="3:48" x14ac:dyDescent="0.2">
      <c r="C688" s="9"/>
      <c r="K688" s="1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</row>
    <row r="689" spans="3:48" x14ac:dyDescent="0.2">
      <c r="C689" s="9"/>
      <c r="K689" s="1"/>
    </row>
    <row r="690" spans="3:48" x14ac:dyDescent="0.2">
      <c r="C690" s="9"/>
      <c r="K690" s="1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</row>
    <row r="691" spans="3:48" x14ac:dyDescent="0.2">
      <c r="C691" s="9"/>
      <c r="K691" s="1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</row>
    <row r="692" spans="3:48" x14ac:dyDescent="0.2">
      <c r="C692" s="9"/>
      <c r="K692" s="1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</row>
    <row r="693" spans="3:48" x14ac:dyDescent="0.2">
      <c r="C693" s="9"/>
      <c r="K693" s="1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</row>
    <row r="694" spans="3:48" x14ac:dyDescent="0.2">
      <c r="C694" s="9"/>
      <c r="K694" s="1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</row>
    <row r="695" spans="3:48" x14ac:dyDescent="0.2">
      <c r="C695" s="9"/>
      <c r="K695" s="1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</row>
    <row r="696" spans="3:48" x14ac:dyDescent="0.2">
      <c r="C696" s="9"/>
      <c r="K696" s="1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</row>
    <row r="697" spans="3:48" x14ac:dyDescent="0.2">
      <c r="C697" s="9"/>
      <c r="K697" s="1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</row>
    <row r="698" spans="3:48" x14ac:dyDescent="0.2">
      <c r="C698" s="9"/>
      <c r="K698" s="1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</row>
    <row r="699" spans="3:48" x14ac:dyDescent="0.2">
      <c r="C699" s="9"/>
      <c r="K699" s="1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</row>
    <row r="700" spans="3:48" x14ac:dyDescent="0.2">
      <c r="C700" s="9"/>
      <c r="K700" s="1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</row>
    <row r="701" spans="3:48" x14ac:dyDescent="0.2">
      <c r="C701" s="9"/>
      <c r="K701" s="1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</row>
    <row r="702" spans="3:48" x14ac:dyDescent="0.2">
      <c r="C702" s="9"/>
      <c r="K702" s="1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</row>
    <row r="703" spans="3:48" x14ac:dyDescent="0.2">
      <c r="C703" s="9"/>
      <c r="K703" s="1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</row>
    <row r="704" spans="3:48" x14ac:dyDescent="0.2">
      <c r="C704" s="9"/>
      <c r="K704" s="1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</row>
    <row r="705" spans="3:48" x14ac:dyDescent="0.2">
      <c r="C705" s="9"/>
      <c r="K705" s="1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</row>
    <row r="706" spans="3:48" x14ac:dyDescent="0.2">
      <c r="C706" s="9"/>
      <c r="K706" s="1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</row>
    <row r="707" spans="3:48" x14ac:dyDescent="0.2">
      <c r="C707" s="9"/>
      <c r="K707" s="1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</row>
    <row r="708" spans="3:48" x14ac:dyDescent="0.2">
      <c r="C708" s="9"/>
      <c r="K708" s="1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</row>
    <row r="709" spans="3:48" x14ac:dyDescent="0.2">
      <c r="C709" s="9"/>
      <c r="K709" s="1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</row>
    <row r="710" spans="3:48" x14ac:dyDescent="0.2">
      <c r="C710" s="9"/>
      <c r="K710" s="1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</row>
    <row r="711" spans="3:48" x14ac:dyDescent="0.2">
      <c r="C711" s="9"/>
      <c r="K711" s="1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</row>
    <row r="712" spans="3:48" x14ac:dyDescent="0.2">
      <c r="C712" s="9"/>
      <c r="K712" s="1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</row>
    <row r="713" spans="3:48" x14ac:dyDescent="0.2">
      <c r="C713" s="9"/>
      <c r="K713" s="1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</row>
    <row r="714" spans="3:48" x14ac:dyDescent="0.2">
      <c r="C714" s="9"/>
      <c r="K714" s="1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</row>
    <row r="715" spans="3:48" x14ac:dyDescent="0.2">
      <c r="C715" s="9"/>
      <c r="K715" s="1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</row>
    <row r="716" spans="3:48" x14ac:dyDescent="0.2">
      <c r="C716" s="9"/>
      <c r="K716" s="1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</row>
    <row r="717" spans="3:48" x14ac:dyDescent="0.2">
      <c r="C717" s="9"/>
      <c r="K717" s="1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</row>
    <row r="718" spans="3:48" x14ac:dyDescent="0.2">
      <c r="C718" s="9"/>
      <c r="K718" s="1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</row>
    <row r="719" spans="3:48" x14ac:dyDescent="0.2">
      <c r="C719" s="9"/>
      <c r="K719" s="1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B719" s="86"/>
      <c r="AC719" s="86"/>
      <c r="AD719" s="86"/>
      <c r="AE719" s="86"/>
      <c r="AF719" s="86"/>
      <c r="AG719" s="86"/>
      <c r="AH719" s="86"/>
      <c r="AI719" s="86"/>
      <c r="AJ719" s="86"/>
      <c r="AK719" s="86"/>
      <c r="AL719" s="86"/>
      <c r="AM719" s="86"/>
      <c r="AN719" s="86"/>
      <c r="AO719" s="86"/>
      <c r="AP719" s="86"/>
      <c r="AQ719" s="86"/>
      <c r="AR719" s="86"/>
      <c r="AS719" s="86"/>
      <c r="AT719" s="86"/>
      <c r="AU719" s="86"/>
      <c r="AV719" s="86"/>
    </row>
    <row r="720" spans="3:48" x14ac:dyDescent="0.2">
      <c r="C720" s="9"/>
      <c r="K720" s="1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</row>
    <row r="721" spans="3:48" x14ac:dyDescent="0.2">
      <c r="C721" s="9"/>
      <c r="K721" s="1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</row>
    <row r="722" spans="3:48" x14ac:dyDescent="0.2">
      <c r="C722" s="9"/>
      <c r="K722" s="1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</row>
    <row r="723" spans="3:48" x14ac:dyDescent="0.2">
      <c r="C723" s="9"/>
      <c r="K723" s="1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</row>
    <row r="724" spans="3:48" x14ac:dyDescent="0.2">
      <c r="C724" s="9"/>
      <c r="K724" s="1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</row>
    <row r="725" spans="3:48" x14ac:dyDescent="0.2">
      <c r="C725" s="9"/>
      <c r="K725" s="1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</row>
    <row r="726" spans="3:48" x14ac:dyDescent="0.2">
      <c r="C726" s="9"/>
      <c r="K726" s="1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</row>
    <row r="727" spans="3:48" x14ac:dyDescent="0.2">
      <c r="C727" s="9"/>
      <c r="K727" s="1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</row>
    <row r="728" spans="3:48" x14ac:dyDescent="0.2">
      <c r="C728" s="9"/>
      <c r="K728" s="1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</row>
    <row r="729" spans="3:48" x14ac:dyDescent="0.2">
      <c r="C729" s="9"/>
      <c r="K729" s="1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</row>
    <row r="730" spans="3:48" x14ac:dyDescent="0.2">
      <c r="C730" s="9"/>
      <c r="K730" s="1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</row>
    <row r="731" spans="3:48" x14ac:dyDescent="0.2">
      <c r="C731" s="9"/>
      <c r="K731" s="1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</row>
    <row r="732" spans="3:48" x14ac:dyDescent="0.2">
      <c r="C732" s="9"/>
      <c r="K732" s="1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</row>
    <row r="733" spans="3:48" x14ac:dyDescent="0.2">
      <c r="C733" s="9"/>
      <c r="K733" s="1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</row>
    <row r="734" spans="3:48" x14ac:dyDescent="0.2">
      <c r="C734" s="9"/>
      <c r="K734" s="1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</row>
    <row r="735" spans="3:48" x14ac:dyDescent="0.2">
      <c r="C735" s="9"/>
      <c r="K735" s="1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</row>
    <row r="736" spans="3:48" x14ac:dyDescent="0.2">
      <c r="C736" s="9"/>
      <c r="K736" s="1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</row>
    <row r="737" spans="3:48" x14ac:dyDescent="0.2">
      <c r="C737" s="9"/>
      <c r="K737" s="1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</row>
    <row r="738" spans="3:48" x14ac:dyDescent="0.2">
      <c r="C738" s="9"/>
      <c r="K738" s="1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</row>
    <row r="739" spans="3:48" x14ac:dyDescent="0.2">
      <c r="C739" s="9"/>
      <c r="K739" s="1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</row>
    <row r="740" spans="3:48" x14ac:dyDescent="0.2">
      <c r="C740" s="9"/>
      <c r="K740" s="1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</row>
    <row r="741" spans="3:48" x14ac:dyDescent="0.2">
      <c r="C741" s="9"/>
      <c r="K741" s="1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</row>
    <row r="742" spans="3:48" x14ac:dyDescent="0.2">
      <c r="C742" s="9"/>
      <c r="K742" s="1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</row>
    <row r="743" spans="3:48" x14ac:dyDescent="0.2">
      <c r="C743" s="9"/>
      <c r="K743" s="1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</row>
    <row r="744" spans="3:48" x14ac:dyDescent="0.2">
      <c r="C744" s="9"/>
      <c r="K744" s="1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</row>
    <row r="745" spans="3:48" x14ac:dyDescent="0.2">
      <c r="C745" s="9"/>
      <c r="K745" s="1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</row>
    <row r="746" spans="3:48" x14ac:dyDescent="0.2">
      <c r="C746" s="9"/>
      <c r="K746" s="1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</row>
    <row r="747" spans="3:48" x14ac:dyDescent="0.2">
      <c r="C747" s="9"/>
      <c r="K747" s="1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</row>
    <row r="748" spans="3:48" x14ac:dyDescent="0.2">
      <c r="C748" s="9"/>
      <c r="K748" s="1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</row>
    <row r="749" spans="3:48" x14ac:dyDescent="0.2">
      <c r="C749" s="9"/>
      <c r="K749" s="1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</row>
    <row r="750" spans="3:48" x14ac:dyDescent="0.2">
      <c r="C750" s="9"/>
      <c r="K750" s="1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</row>
    <row r="751" spans="3:48" x14ac:dyDescent="0.2">
      <c r="C751" s="9"/>
      <c r="K751" s="1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</row>
    <row r="752" spans="3:48" x14ac:dyDescent="0.2">
      <c r="C752" s="9"/>
      <c r="K752" s="1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</row>
    <row r="753" spans="3:48" x14ac:dyDescent="0.2">
      <c r="C753" s="9"/>
      <c r="K753" s="1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</row>
    <row r="754" spans="3:48" x14ac:dyDescent="0.2">
      <c r="C754" s="9"/>
      <c r="K754" s="1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</row>
    <row r="755" spans="3:48" x14ac:dyDescent="0.2">
      <c r="C755" s="9"/>
      <c r="K755" s="1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</row>
    <row r="756" spans="3:48" x14ac:dyDescent="0.2">
      <c r="C756" s="9"/>
      <c r="K756" s="1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</row>
    <row r="757" spans="3:48" x14ac:dyDescent="0.2">
      <c r="C757" s="9"/>
      <c r="K757" s="1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</row>
    <row r="758" spans="3:48" x14ac:dyDescent="0.2">
      <c r="C758" s="9"/>
      <c r="K758" s="1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</row>
    <row r="759" spans="3:48" x14ac:dyDescent="0.2">
      <c r="C759" s="9"/>
      <c r="K759" s="1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</row>
    <row r="760" spans="3:48" x14ac:dyDescent="0.2">
      <c r="C760" s="9"/>
      <c r="K760" s="1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</row>
    <row r="761" spans="3:48" x14ac:dyDescent="0.2">
      <c r="C761" s="9"/>
      <c r="K761" s="1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</row>
    <row r="762" spans="3:48" x14ac:dyDescent="0.2">
      <c r="C762" s="9"/>
      <c r="K762" s="1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</row>
    <row r="763" spans="3:48" x14ac:dyDescent="0.2">
      <c r="C763" s="9"/>
      <c r="K763" s="1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</row>
    <row r="764" spans="3:48" x14ac:dyDescent="0.2">
      <c r="C764" s="9"/>
      <c r="K764" s="1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</row>
    <row r="765" spans="3:48" x14ac:dyDescent="0.2">
      <c r="C765" s="9"/>
      <c r="K765" s="1"/>
    </row>
    <row r="766" spans="3:48" x14ac:dyDescent="0.2">
      <c r="C766" s="9"/>
      <c r="K766" s="1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</row>
    <row r="767" spans="3:48" x14ac:dyDescent="0.2">
      <c r="C767" s="9"/>
      <c r="K767" s="1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</row>
    <row r="768" spans="3:48" x14ac:dyDescent="0.2">
      <c r="C768" s="9"/>
      <c r="K768" s="1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</row>
    <row r="769" spans="3:48" x14ac:dyDescent="0.2">
      <c r="C769" s="9"/>
      <c r="K769" s="1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</row>
    <row r="770" spans="3:48" x14ac:dyDescent="0.2">
      <c r="C770" s="9"/>
      <c r="K770" s="1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</row>
    <row r="771" spans="3:48" x14ac:dyDescent="0.2">
      <c r="C771" s="9"/>
      <c r="K771" s="1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</row>
    <row r="772" spans="3:48" x14ac:dyDescent="0.2">
      <c r="C772" s="9"/>
      <c r="K772" s="1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</row>
    <row r="773" spans="3:48" x14ac:dyDescent="0.2">
      <c r="C773" s="9"/>
      <c r="K773" s="1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</row>
    <row r="774" spans="3:48" x14ac:dyDescent="0.2">
      <c r="C774" s="9"/>
      <c r="K774" s="1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</row>
    <row r="775" spans="3:48" x14ac:dyDescent="0.2">
      <c r="C775" s="9"/>
      <c r="K775" s="1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</row>
    <row r="776" spans="3:48" x14ac:dyDescent="0.2">
      <c r="C776" s="9"/>
      <c r="K776" s="1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</row>
    <row r="777" spans="3:48" x14ac:dyDescent="0.2">
      <c r="C777" s="9"/>
      <c r="K777" s="1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</row>
    <row r="778" spans="3:48" x14ac:dyDescent="0.2">
      <c r="C778" s="9"/>
      <c r="K778" s="1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</row>
    <row r="779" spans="3:48" x14ac:dyDescent="0.2">
      <c r="C779" s="9"/>
      <c r="K779" s="1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</row>
    <row r="780" spans="3:48" x14ac:dyDescent="0.2">
      <c r="C780" s="9"/>
      <c r="K780" s="1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</row>
    <row r="781" spans="3:48" x14ac:dyDescent="0.2">
      <c r="C781" s="9"/>
      <c r="K781" s="1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</row>
    <row r="782" spans="3:48" x14ac:dyDescent="0.2">
      <c r="C782" s="9"/>
      <c r="K782" s="1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</row>
    <row r="783" spans="3:48" x14ac:dyDescent="0.2">
      <c r="C783" s="9"/>
      <c r="K783" s="1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</row>
    <row r="784" spans="3:48" x14ac:dyDescent="0.2">
      <c r="C784" s="9"/>
      <c r="K784" s="1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</row>
    <row r="785" spans="3:48" x14ac:dyDescent="0.2">
      <c r="C785" s="9"/>
      <c r="K785" s="1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</row>
    <row r="786" spans="3:48" x14ac:dyDescent="0.2">
      <c r="C786" s="9"/>
      <c r="K786" s="1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</row>
    <row r="787" spans="3:48" x14ac:dyDescent="0.2">
      <c r="C787" s="9"/>
      <c r="K787" s="1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</row>
    <row r="788" spans="3:48" x14ac:dyDescent="0.2">
      <c r="C788" s="9"/>
      <c r="K788" s="1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</row>
    <row r="789" spans="3:48" x14ac:dyDescent="0.2">
      <c r="C789" s="9"/>
      <c r="K789" s="1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</row>
    <row r="790" spans="3:48" x14ac:dyDescent="0.2">
      <c r="C790" s="9"/>
      <c r="K790" s="1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</row>
    <row r="791" spans="3:48" x14ac:dyDescent="0.2">
      <c r="C791" s="9"/>
      <c r="K791" s="1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</row>
    <row r="792" spans="3:48" x14ac:dyDescent="0.2">
      <c r="C792" s="9"/>
      <c r="K792" s="1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</row>
    <row r="793" spans="3:48" x14ac:dyDescent="0.2">
      <c r="C793" s="9"/>
      <c r="K793" s="1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</row>
    <row r="794" spans="3:48" x14ac:dyDescent="0.2">
      <c r="C794" s="9"/>
      <c r="K794" s="1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</row>
    <row r="795" spans="3:48" x14ac:dyDescent="0.2">
      <c r="C795" s="9"/>
      <c r="K795" s="1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</row>
    <row r="796" spans="3:48" x14ac:dyDescent="0.2">
      <c r="C796" s="9"/>
      <c r="K796" s="1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</row>
    <row r="797" spans="3:48" x14ac:dyDescent="0.2">
      <c r="C797" s="9"/>
      <c r="K797" s="1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</row>
    <row r="798" spans="3:48" x14ac:dyDescent="0.2">
      <c r="C798" s="9"/>
      <c r="K798" s="1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</row>
    <row r="799" spans="3:48" x14ac:dyDescent="0.2">
      <c r="C799" s="9"/>
      <c r="K799" s="1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</row>
    <row r="800" spans="3:48" x14ac:dyDescent="0.2">
      <c r="C800" s="9"/>
      <c r="K800" s="1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</row>
    <row r="801" spans="3:48" x14ac:dyDescent="0.2">
      <c r="C801" s="9"/>
      <c r="K801" s="1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B801" s="86"/>
      <c r="AC801" s="86"/>
      <c r="AD801" s="86"/>
      <c r="AE801" s="86"/>
      <c r="AF801" s="86"/>
      <c r="AG801" s="86"/>
      <c r="AH801" s="86"/>
      <c r="AI801" s="86"/>
      <c r="AJ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</row>
    <row r="802" spans="3:48" x14ac:dyDescent="0.2">
      <c r="C802" s="9"/>
      <c r="K802" s="1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B802" s="86"/>
      <c r="AC802" s="86"/>
      <c r="AD802" s="86"/>
      <c r="AE802" s="86"/>
      <c r="AF802" s="86"/>
      <c r="AG802" s="86"/>
      <c r="AH802" s="86"/>
      <c r="AI802" s="86"/>
      <c r="AJ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</row>
    <row r="803" spans="3:48" x14ac:dyDescent="0.2">
      <c r="C803" s="9"/>
      <c r="K803" s="1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</row>
    <row r="804" spans="3:48" x14ac:dyDescent="0.2">
      <c r="C804" s="9"/>
      <c r="K804" s="1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</row>
    <row r="805" spans="3:48" x14ac:dyDescent="0.2">
      <c r="C805" s="9"/>
      <c r="K805" s="1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</row>
    <row r="806" spans="3:48" x14ac:dyDescent="0.2">
      <c r="C806" s="9"/>
      <c r="K806" s="1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</row>
    <row r="807" spans="3:48" x14ac:dyDescent="0.2">
      <c r="C807" s="9"/>
      <c r="K807" s="1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</row>
    <row r="808" spans="3:48" x14ac:dyDescent="0.2">
      <c r="C808" s="9"/>
      <c r="K808" s="1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</row>
    <row r="809" spans="3:48" x14ac:dyDescent="0.2">
      <c r="C809" s="9"/>
      <c r="K809" s="1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</row>
    <row r="810" spans="3:48" x14ac:dyDescent="0.2">
      <c r="C810" s="9"/>
      <c r="K810" s="1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</row>
    <row r="811" spans="3:48" x14ac:dyDescent="0.2">
      <c r="C811" s="9"/>
      <c r="K811" s="1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</row>
    <row r="812" spans="3:48" x14ac:dyDescent="0.2">
      <c r="C812" s="9"/>
      <c r="K812" s="1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</row>
    <row r="813" spans="3:48" x14ac:dyDescent="0.2">
      <c r="C813" s="9"/>
      <c r="K813" s="1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</row>
    <row r="814" spans="3:48" x14ac:dyDescent="0.2">
      <c r="C814" s="9"/>
      <c r="K814" s="1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B814" s="86"/>
      <c r="AC814" s="86"/>
      <c r="AD814" s="86"/>
      <c r="AE814" s="86"/>
      <c r="AF814" s="86"/>
      <c r="AG814" s="86"/>
      <c r="AH814" s="86"/>
      <c r="AI814" s="86"/>
      <c r="AJ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</row>
    <row r="815" spans="3:48" x14ac:dyDescent="0.2">
      <c r="K815" s="1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</row>
    <row r="816" spans="3:48" x14ac:dyDescent="0.2">
      <c r="K816" s="1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</row>
    <row r="817" spans="11:48" x14ac:dyDescent="0.2">
      <c r="K817" s="1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</row>
    <row r="818" spans="11:48" x14ac:dyDescent="0.2">
      <c r="K818" s="1"/>
    </row>
    <row r="819" spans="11:48" x14ac:dyDescent="0.2">
      <c r="K819" s="1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</row>
    <row r="820" spans="11:48" x14ac:dyDescent="0.2">
      <c r="K820" s="1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</row>
    <row r="821" spans="11:48" x14ac:dyDescent="0.2">
      <c r="K821" s="1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</row>
    <row r="822" spans="11:48" x14ac:dyDescent="0.2">
      <c r="K822" s="1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</row>
    <row r="823" spans="11:48" x14ac:dyDescent="0.2">
      <c r="K823" s="1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</row>
    <row r="824" spans="11:48" x14ac:dyDescent="0.2">
      <c r="K824" s="1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</row>
    <row r="825" spans="11:48" x14ac:dyDescent="0.2">
      <c r="K825" s="1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</row>
    <row r="826" spans="11:48" x14ac:dyDescent="0.2">
      <c r="K826" s="1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</row>
    <row r="827" spans="11:48" x14ac:dyDescent="0.2">
      <c r="K827" s="1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</row>
    <row r="828" spans="11:48" x14ac:dyDescent="0.2">
      <c r="K828" s="1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</row>
    <row r="829" spans="11:48" x14ac:dyDescent="0.2">
      <c r="K829" s="1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</row>
    <row r="830" spans="11:48" x14ac:dyDescent="0.2">
      <c r="K830" s="1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</row>
    <row r="831" spans="11:48" x14ac:dyDescent="0.2">
      <c r="K831" s="1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</row>
    <row r="832" spans="11:48" x14ac:dyDescent="0.2">
      <c r="K832" s="1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</row>
    <row r="833" spans="11:48" x14ac:dyDescent="0.2">
      <c r="K833" s="1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</row>
    <row r="834" spans="11:48" x14ac:dyDescent="0.2">
      <c r="K834" s="1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</row>
    <row r="835" spans="11:48" x14ac:dyDescent="0.2">
      <c r="K835" s="1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</row>
    <row r="836" spans="11:48" x14ac:dyDescent="0.2">
      <c r="K836" s="1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</row>
    <row r="837" spans="11:48" x14ac:dyDescent="0.2">
      <c r="K837" s="1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</row>
    <row r="838" spans="11:48" x14ac:dyDescent="0.2">
      <c r="K838" s="1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</row>
    <row r="839" spans="11:48" x14ac:dyDescent="0.2">
      <c r="K839" s="1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</row>
    <row r="840" spans="11:48" x14ac:dyDescent="0.2">
      <c r="K840" s="1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</row>
    <row r="841" spans="11:48" x14ac:dyDescent="0.2">
      <c r="K841" s="1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</row>
    <row r="842" spans="11:48" x14ac:dyDescent="0.2">
      <c r="K842" s="1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</row>
    <row r="843" spans="11:48" x14ac:dyDescent="0.2">
      <c r="K843" s="1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</row>
    <row r="844" spans="11:48" x14ac:dyDescent="0.2">
      <c r="K844" s="1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</row>
    <row r="845" spans="11:48" x14ac:dyDescent="0.2">
      <c r="K845" s="1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</row>
    <row r="846" spans="11:48" x14ac:dyDescent="0.2">
      <c r="K846" s="1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</row>
    <row r="847" spans="11:48" x14ac:dyDescent="0.2">
      <c r="K847" s="1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</row>
    <row r="848" spans="11:48" x14ac:dyDescent="0.2"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</row>
    <row r="849" spans="13:48" x14ac:dyDescent="0.2"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</row>
    <row r="850" spans="13:48" x14ac:dyDescent="0.2"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</row>
    <row r="851" spans="13:48" x14ac:dyDescent="0.2"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</row>
    <row r="852" spans="13:48" x14ac:dyDescent="0.2"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</row>
    <row r="853" spans="13:48" x14ac:dyDescent="0.2"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</row>
    <row r="854" spans="13:48" x14ac:dyDescent="0.2"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</row>
    <row r="855" spans="13:48" x14ac:dyDescent="0.2"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</row>
    <row r="856" spans="13:48" x14ac:dyDescent="0.2"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</row>
    <row r="857" spans="13:48" x14ac:dyDescent="0.2"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</row>
    <row r="858" spans="13:48" x14ac:dyDescent="0.2"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</row>
    <row r="859" spans="13:48" x14ac:dyDescent="0.2"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</row>
    <row r="860" spans="13:48" x14ac:dyDescent="0.2"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</row>
    <row r="861" spans="13:48" x14ac:dyDescent="0.2"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</row>
    <row r="862" spans="13:48" x14ac:dyDescent="0.2"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</row>
    <row r="863" spans="13:48" x14ac:dyDescent="0.2"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</row>
    <row r="864" spans="13:48" x14ac:dyDescent="0.2"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</row>
    <row r="865" spans="13:48" x14ac:dyDescent="0.2"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</row>
    <row r="866" spans="13:48" x14ac:dyDescent="0.2"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</row>
    <row r="867" spans="13:48" x14ac:dyDescent="0.2"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</row>
    <row r="868" spans="13:48" x14ac:dyDescent="0.2"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</row>
    <row r="869" spans="13:48" x14ac:dyDescent="0.2"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</row>
    <row r="870" spans="13:48" x14ac:dyDescent="0.2"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</row>
    <row r="871" spans="13:48" x14ac:dyDescent="0.2"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</row>
    <row r="872" spans="13:48" x14ac:dyDescent="0.2"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</row>
    <row r="873" spans="13:48" x14ac:dyDescent="0.2"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</row>
    <row r="874" spans="13:48" x14ac:dyDescent="0.2"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B874" s="86"/>
      <c r="AC874" s="86"/>
      <c r="AD874" s="86"/>
      <c r="AE874" s="86"/>
      <c r="AF874" s="86"/>
      <c r="AG874" s="86"/>
      <c r="AH874" s="86"/>
      <c r="AI874" s="86"/>
      <c r="AJ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</row>
    <row r="875" spans="13:48" x14ac:dyDescent="0.2"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B875" s="86"/>
      <c r="AC875" s="86"/>
      <c r="AD875" s="86"/>
      <c r="AE875" s="86"/>
      <c r="AF875" s="86"/>
      <c r="AG875" s="86"/>
      <c r="AH875" s="86"/>
      <c r="AI875" s="86"/>
      <c r="AJ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</row>
    <row r="876" spans="13:48" x14ac:dyDescent="0.2"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</row>
    <row r="877" spans="13:48" x14ac:dyDescent="0.2"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</row>
    <row r="878" spans="13:48" x14ac:dyDescent="0.2"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</row>
    <row r="879" spans="13:48" x14ac:dyDescent="0.2"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</row>
    <row r="880" spans="13:48" x14ac:dyDescent="0.2"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</row>
    <row r="881" spans="13:48" x14ac:dyDescent="0.2"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</row>
    <row r="882" spans="13:48" x14ac:dyDescent="0.2"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</row>
    <row r="883" spans="13:48" x14ac:dyDescent="0.2"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</row>
    <row r="884" spans="13:48" x14ac:dyDescent="0.2"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</row>
    <row r="885" spans="13:48" x14ac:dyDescent="0.2"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</row>
    <row r="886" spans="13:48" x14ac:dyDescent="0.2"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</row>
    <row r="887" spans="13:48" x14ac:dyDescent="0.2"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</row>
    <row r="888" spans="13:48" x14ac:dyDescent="0.2"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</row>
    <row r="889" spans="13:48" x14ac:dyDescent="0.2"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</row>
    <row r="890" spans="13:48" x14ac:dyDescent="0.2"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</row>
    <row r="891" spans="13:48" x14ac:dyDescent="0.2"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</row>
    <row r="892" spans="13:48" x14ac:dyDescent="0.2"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</row>
    <row r="893" spans="13:48" x14ac:dyDescent="0.2"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</row>
    <row r="894" spans="13:48" x14ac:dyDescent="0.2"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</row>
    <row r="895" spans="13:48" x14ac:dyDescent="0.2"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</row>
    <row r="896" spans="13:48" x14ac:dyDescent="0.2"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</row>
    <row r="897" spans="13:48" x14ac:dyDescent="0.2"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</row>
    <row r="898" spans="13:48" x14ac:dyDescent="0.2"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</row>
    <row r="899" spans="13:48" x14ac:dyDescent="0.2"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</row>
    <row r="900" spans="13:48" x14ac:dyDescent="0.2"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</row>
    <row r="901" spans="13:48" x14ac:dyDescent="0.2"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</row>
    <row r="902" spans="13:48" x14ac:dyDescent="0.2"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</row>
    <row r="903" spans="13:48" x14ac:dyDescent="0.2"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</row>
    <row r="904" spans="13:48" x14ac:dyDescent="0.2"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</row>
    <row r="905" spans="13:48" x14ac:dyDescent="0.2"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</row>
    <row r="906" spans="13:48" x14ac:dyDescent="0.2"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</row>
    <row r="907" spans="13:48" x14ac:dyDescent="0.2"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</row>
    <row r="908" spans="13:48" x14ac:dyDescent="0.2"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</row>
    <row r="909" spans="13:48" x14ac:dyDescent="0.2"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</row>
    <row r="910" spans="13:48" x14ac:dyDescent="0.2"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</row>
    <row r="911" spans="13:48" x14ac:dyDescent="0.2"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</row>
    <row r="912" spans="13:48" x14ac:dyDescent="0.2"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</row>
    <row r="913" spans="13:48" x14ac:dyDescent="0.2"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</row>
    <row r="914" spans="13:48" x14ac:dyDescent="0.2"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</row>
    <row r="915" spans="13:48" x14ac:dyDescent="0.2"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</row>
    <row r="916" spans="13:48" x14ac:dyDescent="0.2"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</row>
    <row r="917" spans="13:48" x14ac:dyDescent="0.2"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</row>
    <row r="918" spans="13:48" x14ac:dyDescent="0.2"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</row>
    <row r="919" spans="13:48" x14ac:dyDescent="0.2"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</row>
    <row r="920" spans="13:48" x14ac:dyDescent="0.2"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</row>
    <row r="921" spans="13:48" x14ac:dyDescent="0.2"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</row>
    <row r="922" spans="13:48" x14ac:dyDescent="0.2"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</row>
    <row r="923" spans="13:48" x14ac:dyDescent="0.2"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</row>
    <row r="924" spans="13:48" x14ac:dyDescent="0.2"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</row>
    <row r="925" spans="13:48" x14ac:dyDescent="0.2"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</row>
    <row r="926" spans="13:48" x14ac:dyDescent="0.2"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</row>
    <row r="927" spans="13:48" x14ac:dyDescent="0.2"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</row>
    <row r="928" spans="13:48" x14ac:dyDescent="0.2"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</row>
    <row r="929" spans="13:48" x14ac:dyDescent="0.2"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</row>
    <row r="930" spans="13:48" x14ac:dyDescent="0.2"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</row>
    <row r="931" spans="13:48" x14ac:dyDescent="0.2"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</row>
    <row r="932" spans="13:48" x14ac:dyDescent="0.2"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</row>
    <row r="933" spans="13:48" x14ac:dyDescent="0.2"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</row>
    <row r="934" spans="13:48" x14ac:dyDescent="0.2"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</row>
    <row r="935" spans="13:48" x14ac:dyDescent="0.2"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</row>
    <row r="936" spans="13:48" x14ac:dyDescent="0.2"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</row>
    <row r="937" spans="13:48" x14ac:dyDescent="0.2"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</row>
    <row r="938" spans="13:48" x14ac:dyDescent="0.2"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</row>
    <row r="939" spans="13:48" x14ac:dyDescent="0.2"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</row>
    <row r="940" spans="13:48" x14ac:dyDescent="0.2"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</row>
    <row r="941" spans="13:48" x14ac:dyDescent="0.2"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</row>
    <row r="942" spans="13:48" x14ac:dyDescent="0.2"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</row>
    <row r="943" spans="13:48" x14ac:dyDescent="0.2"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</row>
    <row r="944" spans="13:48" x14ac:dyDescent="0.2"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</row>
    <row r="945" spans="13:48" x14ac:dyDescent="0.2"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</row>
    <row r="946" spans="13:48" x14ac:dyDescent="0.2"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</row>
    <row r="947" spans="13:48" x14ac:dyDescent="0.2"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</row>
    <row r="948" spans="13:48" x14ac:dyDescent="0.2"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</row>
    <row r="949" spans="13:48" x14ac:dyDescent="0.2"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</row>
    <row r="950" spans="13:48" x14ac:dyDescent="0.2"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</row>
    <row r="951" spans="13:48" x14ac:dyDescent="0.2"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</row>
    <row r="952" spans="13:48" x14ac:dyDescent="0.2"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</row>
    <row r="953" spans="13:48" x14ac:dyDescent="0.2"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</row>
    <row r="954" spans="13:48" x14ac:dyDescent="0.2"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</row>
    <row r="955" spans="13:48" x14ac:dyDescent="0.2"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</row>
    <row r="956" spans="13:48" x14ac:dyDescent="0.2"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</row>
    <row r="957" spans="13:48" x14ac:dyDescent="0.2"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</row>
    <row r="958" spans="13:48" x14ac:dyDescent="0.2"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</row>
    <row r="959" spans="13:48" x14ac:dyDescent="0.2"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</row>
    <row r="960" spans="13:48" x14ac:dyDescent="0.2"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</row>
    <row r="961" spans="13:48" x14ac:dyDescent="0.2"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</row>
    <row r="962" spans="13:48" x14ac:dyDescent="0.2"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</row>
    <row r="963" spans="13:48" x14ac:dyDescent="0.2"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</row>
    <row r="964" spans="13:48" x14ac:dyDescent="0.2"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</row>
    <row r="965" spans="13:48" x14ac:dyDescent="0.2"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</row>
    <row r="966" spans="13:48" x14ac:dyDescent="0.2"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</row>
    <row r="967" spans="13:48" x14ac:dyDescent="0.2"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</row>
    <row r="968" spans="13:48" x14ac:dyDescent="0.2"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</row>
    <row r="969" spans="13:48" x14ac:dyDescent="0.2"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</row>
    <row r="970" spans="13:48" x14ac:dyDescent="0.2"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</row>
    <row r="971" spans="13:48" x14ac:dyDescent="0.2"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</row>
    <row r="972" spans="13:48" x14ac:dyDescent="0.2"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</row>
    <row r="973" spans="13:48" x14ac:dyDescent="0.2"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</row>
    <row r="974" spans="13:48" x14ac:dyDescent="0.2"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</row>
    <row r="975" spans="13:48" x14ac:dyDescent="0.2"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</row>
    <row r="976" spans="13:48" x14ac:dyDescent="0.2"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</row>
    <row r="977" spans="13:48" x14ac:dyDescent="0.2"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</row>
    <row r="978" spans="13:48" x14ac:dyDescent="0.2"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</row>
    <row r="979" spans="13:48" x14ac:dyDescent="0.2"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</row>
    <row r="980" spans="13:48" x14ac:dyDescent="0.2"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</row>
    <row r="981" spans="13:48" x14ac:dyDescent="0.2"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</row>
    <row r="982" spans="13:48" x14ac:dyDescent="0.2"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</row>
    <row r="983" spans="13:48" x14ac:dyDescent="0.2"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</row>
    <row r="984" spans="13:48" x14ac:dyDescent="0.2"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</row>
    <row r="985" spans="13:48" x14ac:dyDescent="0.2"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</row>
    <row r="986" spans="13:48" x14ac:dyDescent="0.2"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</row>
    <row r="987" spans="13:48" x14ac:dyDescent="0.2"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</row>
    <row r="988" spans="13:48" x14ac:dyDescent="0.2"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</row>
    <row r="989" spans="13:48" x14ac:dyDescent="0.2"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</row>
    <row r="990" spans="13:48" x14ac:dyDescent="0.2"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</row>
    <row r="991" spans="13:48" x14ac:dyDescent="0.2"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</row>
    <row r="992" spans="13:48" x14ac:dyDescent="0.2"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</row>
    <row r="993" spans="13:48" x14ac:dyDescent="0.2"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</row>
    <row r="994" spans="13:48" x14ac:dyDescent="0.2"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</row>
    <row r="995" spans="13:48" x14ac:dyDescent="0.2"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</row>
    <row r="996" spans="13:48" x14ac:dyDescent="0.2"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</row>
    <row r="997" spans="13:48" x14ac:dyDescent="0.2"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</row>
    <row r="998" spans="13:48" x14ac:dyDescent="0.2"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</row>
    <row r="999" spans="13:48" x14ac:dyDescent="0.2"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</row>
    <row r="1000" spans="13:48" x14ac:dyDescent="0.2"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</row>
    <row r="1001" spans="13:48" x14ac:dyDescent="0.2"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</row>
    <row r="1002" spans="13:48" x14ac:dyDescent="0.2">
      <c r="M1002" s="89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</row>
    <row r="1003" spans="13:48" x14ac:dyDescent="0.2">
      <c r="M1003" s="89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</row>
    <row r="1004" spans="13:48" x14ac:dyDescent="0.2"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</row>
    <row r="1005" spans="13:48" x14ac:dyDescent="0.2">
      <c r="M1005" s="89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</row>
    <row r="1006" spans="13:48" x14ac:dyDescent="0.2">
      <c r="M1006" s="89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</row>
    <row r="1007" spans="13:48" x14ac:dyDescent="0.2"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</row>
    <row r="1008" spans="13:48" x14ac:dyDescent="0.2">
      <c r="M1008" s="89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</row>
    <row r="1009" spans="13:48" x14ac:dyDescent="0.2">
      <c r="M1009" s="89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</row>
    <row r="1010" spans="13:48" x14ac:dyDescent="0.2"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</row>
    <row r="1011" spans="13:48" x14ac:dyDescent="0.2">
      <c r="M1011" s="89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</row>
    <row r="1012" spans="13:48" x14ac:dyDescent="0.2"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</row>
    <row r="1013" spans="13:48" x14ac:dyDescent="0.2"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</row>
    <row r="1014" spans="13:48" x14ac:dyDescent="0.2"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</row>
    <row r="1015" spans="13:48" x14ac:dyDescent="0.2"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</row>
    <row r="1016" spans="13:48" x14ac:dyDescent="0.2"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</row>
    <row r="1017" spans="13:48" x14ac:dyDescent="0.2"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</row>
    <row r="1018" spans="13:48" x14ac:dyDescent="0.2"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</row>
    <row r="1019" spans="13:48" x14ac:dyDescent="0.2"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</row>
    <row r="1020" spans="13:48" x14ac:dyDescent="0.2"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</row>
    <row r="1021" spans="13:48" x14ac:dyDescent="0.2"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</row>
    <row r="1022" spans="13:48" x14ac:dyDescent="0.2">
      <c r="M1022" s="89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</row>
    <row r="1023" spans="13:48" x14ac:dyDescent="0.2"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</row>
    <row r="1024" spans="13:48" x14ac:dyDescent="0.2">
      <c r="M1024" s="89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</row>
    <row r="1025" spans="13:48" x14ac:dyDescent="0.2">
      <c r="M1025" s="89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</row>
    <row r="1026" spans="13:48" x14ac:dyDescent="0.2"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</row>
    <row r="1027" spans="13:48" x14ac:dyDescent="0.2">
      <c r="M1027" s="89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</row>
    <row r="1028" spans="13:48" x14ac:dyDescent="0.2">
      <c r="M1028" s="89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</row>
    <row r="1029" spans="13:48" x14ac:dyDescent="0.2"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</row>
    <row r="1030" spans="13:48" x14ac:dyDescent="0.2">
      <c r="M1030" s="89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</row>
    <row r="1031" spans="13:48" x14ac:dyDescent="0.2">
      <c r="M1031" s="89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</row>
    <row r="1032" spans="13:48" x14ac:dyDescent="0.2"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</row>
    <row r="1033" spans="13:48" x14ac:dyDescent="0.2">
      <c r="M1033" s="89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</row>
    <row r="1034" spans="13:48" x14ac:dyDescent="0.2">
      <c r="M1034" s="89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</row>
    <row r="1035" spans="13:48" x14ac:dyDescent="0.2"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</row>
    <row r="1036" spans="13:48" x14ac:dyDescent="0.2">
      <c r="M1036" s="89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</row>
    <row r="1037" spans="13:48" x14ac:dyDescent="0.2"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</row>
    <row r="1038" spans="13:48" x14ac:dyDescent="0.2"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</row>
    <row r="1039" spans="13:48" x14ac:dyDescent="0.2">
      <c r="M1039" s="89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</row>
    <row r="1040" spans="13:48" x14ac:dyDescent="0.2">
      <c r="M1040" s="89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</row>
    <row r="1041" spans="13:48" x14ac:dyDescent="0.2"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</row>
    <row r="1042" spans="13:48" x14ac:dyDescent="0.2"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</row>
    <row r="1043" spans="13:48" x14ac:dyDescent="0.2">
      <c r="M1043" s="89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</row>
    <row r="1044" spans="13:48" x14ac:dyDescent="0.2"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</row>
    <row r="1045" spans="13:48" x14ac:dyDescent="0.2">
      <c r="M1045" s="89"/>
      <c r="N1045" s="89"/>
      <c r="O1045" s="89"/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A1045" s="8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</row>
    <row r="1046" spans="13:48" x14ac:dyDescent="0.2"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</row>
    <row r="1047" spans="13:48" x14ac:dyDescent="0.2">
      <c r="M1047" s="89"/>
      <c r="N1047" s="89"/>
      <c r="O1047" s="89"/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</row>
    <row r="1048" spans="13:48" x14ac:dyDescent="0.2">
      <c r="M1048" s="89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</row>
    <row r="1049" spans="13:48" x14ac:dyDescent="0.2">
      <c r="M1049" s="89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</row>
    <row r="1050" spans="13:48" x14ac:dyDescent="0.2"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</row>
    <row r="1051" spans="13:48" x14ac:dyDescent="0.2"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</row>
    <row r="1052" spans="13:48" x14ac:dyDescent="0.2">
      <c r="M1052" s="89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</row>
    <row r="1053" spans="13:48" x14ac:dyDescent="0.2"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</row>
    <row r="1054" spans="13:48" x14ac:dyDescent="0.2">
      <c r="M1054" s="89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</row>
    <row r="1055" spans="13:48" x14ac:dyDescent="0.2">
      <c r="M1055" s="89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</row>
    <row r="1056" spans="13:48" x14ac:dyDescent="0.2"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</row>
    <row r="1057" spans="13:48" x14ac:dyDescent="0.2">
      <c r="M1057" s="89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</row>
    <row r="1058" spans="13:48" x14ac:dyDescent="0.2">
      <c r="M1058" s="89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</row>
    <row r="1059" spans="13:48" x14ac:dyDescent="0.2"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</row>
    <row r="1060" spans="13:48" x14ac:dyDescent="0.2">
      <c r="M1060" s="89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</row>
    <row r="1061" spans="13:48" x14ac:dyDescent="0.2">
      <c r="M1061" s="89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</row>
    <row r="1062" spans="13:48" x14ac:dyDescent="0.2"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</row>
    <row r="1063" spans="13:48" x14ac:dyDescent="0.2">
      <c r="M1063" s="89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</row>
    <row r="1064" spans="13:48" x14ac:dyDescent="0.2"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</row>
    <row r="1065" spans="13:48" x14ac:dyDescent="0.2"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</row>
    <row r="1066" spans="13:48" x14ac:dyDescent="0.2"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</row>
    <row r="1067" spans="13:48" x14ac:dyDescent="0.2">
      <c r="M1067" s="89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</row>
    <row r="1068" spans="13:48" x14ac:dyDescent="0.2"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</row>
    <row r="1069" spans="13:48" x14ac:dyDescent="0.2">
      <c r="M1069" s="89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</row>
    <row r="1070" spans="13:48" x14ac:dyDescent="0.2">
      <c r="M1070" s="89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</row>
    <row r="1071" spans="13:48" x14ac:dyDescent="0.2"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</row>
    <row r="1072" spans="13:48" x14ac:dyDescent="0.2">
      <c r="M1072" s="89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</row>
    <row r="1073" spans="13:48" x14ac:dyDescent="0.2">
      <c r="M1073" s="89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</row>
    <row r="1074" spans="13:48" x14ac:dyDescent="0.2"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</row>
    <row r="1075" spans="13:48" x14ac:dyDescent="0.2">
      <c r="M1075" s="89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</row>
    <row r="1076" spans="13:48" x14ac:dyDescent="0.2">
      <c r="M1076" s="89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</row>
    <row r="1077" spans="13:48" x14ac:dyDescent="0.2"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</row>
    <row r="1078" spans="13:48" x14ac:dyDescent="0.2">
      <c r="M1078" s="89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</row>
    <row r="1079" spans="13:48" x14ac:dyDescent="0.2">
      <c r="M1079" s="89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</row>
    <row r="1080" spans="13:48" x14ac:dyDescent="0.2"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</row>
    <row r="1081" spans="13:48" x14ac:dyDescent="0.2">
      <c r="M1081" s="89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</row>
    <row r="1082" spans="13:48" x14ac:dyDescent="0.2"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</row>
    <row r="1083" spans="13:48" x14ac:dyDescent="0.2"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</row>
    <row r="1084" spans="13:48" x14ac:dyDescent="0.2">
      <c r="M1084" s="89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</row>
    <row r="1085" spans="13:48" x14ac:dyDescent="0.2">
      <c r="M1085" s="89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</row>
    <row r="1086" spans="13:48" x14ac:dyDescent="0.2"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</row>
    <row r="1087" spans="13:48" x14ac:dyDescent="0.2">
      <c r="M1087" s="89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</row>
    <row r="1088" spans="13:48" x14ac:dyDescent="0.2"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</row>
    <row r="1089" spans="13:48" x14ac:dyDescent="0.2"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</row>
    <row r="1090" spans="13:48" x14ac:dyDescent="0.2">
      <c r="M1090" s="89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</row>
    <row r="1091" spans="13:48" x14ac:dyDescent="0.2">
      <c r="M1091" s="89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</row>
    <row r="1092" spans="13:48" x14ac:dyDescent="0.2"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</row>
    <row r="1093" spans="13:48" x14ac:dyDescent="0.2"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</row>
    <row r="1094" spans="13:48" x14ac:dyDescent="0.2">
      <c r="M1094" s="89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</row>
    <row r="1095" spans="13:48" x14ac:dyDescent="0.2"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</row>
    <row r="1096" spans="13:48" x14ac:dyDescent="0.2">
      <c r="M1096" s="89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</row>
    <row r="1097" spans="13:48" x14ac:dyDescent="0.2">
      <c r="M1097" s="89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</row>
    <row r="1098" spans="13:48" x14ac:dyDescent="0.2"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</row>
    <row r="1099" spans="13:48" x14ac:dyDescent="0.2">
      <c r="M1099" s="89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</row>
    <row r="1100" spans="13:48" x14ac:dyDescent="0.2">
      <c r="M1100" s="89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</row>
    <row r="1101" spans="13:48" x14ac:dyDescent="0.2"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</row>
    <row r="1102" spans="13:48" x14ac:dyDescent="0.2"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</row>
    <row r="1103" spans="13:48" x14ac:dyDescent="0.2">
      <c r="M1103" s="89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</row>
    <row r="1104" spans="13:48" x14ac:dyDescent="0.2"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</row>
    <row r="1105" spans="13:48" x14ac:dyDescent="0.2">
      <c r="M1105" s="89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</row>
    <row r="1106" spans="13:48" x14ac:dyDescent="0.2">
      <c r="M1106" s="89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</row>
    <row r="1107" spans="13:48" x14ac:dyDescent="0.2"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</row>
    <row r="1108" spans="13:48" x14ac:dyDescent="0.2"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</row>
    <row r="1109" spans="13:48" x14ac:dyDescent="0.2">
      <c r="M1109" s="89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</row>
    <row r="1110" spans="13:48" x14ac:dyDescent="0.2"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</row>
    <row r="1111" spans="13:48" x14ac:dyDescent="0.2">
      <c r="M1111" s="89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</row>
    <row r="1112" spans="13:48" x14ac:dyDescent="0.2">
      <c r="M1112" s="89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</row>
    <row r="1113" spans="13:48" x14ac:dyDescent="0.2"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</row>
    <row r="1114" spans="13:48" x14ac:dyDescent="0.2"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</row>
    <row r="1115" spans="13:48" x14ac:dyDescent="0.2">
      <c r="M1115" s="89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</row>
    <row r="1116" spans="13:48" x14ac:dyDescent="0.2">
      <c r="M1116" s="89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</row>
    <row r="1117" spans="13:48" x14ac:dyDescent="0.2"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</row>
    <row r="1118" spans="13:48" x14ac:dyDescent="0.2">
      <c r="M1118" s="89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</row>
    <row r="1119" spans="13:48" x14ac:dyDescent="0.2">
      <c r="M1119" s="89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</row>
    <row r="1120" spans="13:48" x14ac:dyDescent="0.2"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</row>
    <row r="1121" spans="13:48" x14ac:dyDescent="0.2">
      <c r="M1121" s="89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</row>
    <row r="1122" spans="13:48" x14ac:dyDescent="0.2">
      <c r="M1122" s="89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</row>
    <row r="1123" spans="13:48" x14ac:dyDescent="0.2"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</row>
    <row r="1124" spans="13:48" x14ac:dyDescent="0.2">
      <c r="M1124" s="89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</row>
    <row r="1125" spans="13:48" x14ac:dyDescent="0.2">
      <c r="M1125" s="89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</row>
    <row r="1126" spans="13:48" x14ac:dyDescent="0.2"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</row>
    <row r="1127" spans="13:48" x14ac:dyDescent="0.2"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</row>
    <row r="1128" spans="13:48" x14ac:dyDescent="0.2"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</row>
    <row r="1129" spans="13:48" x14ac:dyDescent="0.2"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</row>
    <row r="1130" spans="13:48" x14ac:dyDescent="0.2"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</row>
    <row r="1131" spans="13:48" x14ac:dyDescent="0.2">
      <c r="M1131" s="89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</row>
    <row r="1132" spans="13:48" x14ac:dyDescent="0.2"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</row>
    <row r="1133" spans="13:48" x14ac:dyDescent="0.2">
      <c r="M1133" s="89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</row>
    <row r="1134" spans="13:48" x14ac:dyDescent="0.2">
      <c r="M1134" s="89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</row>
    <row r="1135" spans="13:48" x14ac:dyDescent="0.2"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</row>
    <row r="1136" spans="13:48" x14ac:dyDescent="0.2">
      <c r="M1136" s="89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</row>
    <row r="1137" spans="13:48" x14ac:dyDescent="0.2">
      <c r="M1137" s="89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</row>
    <row r="1138" spans="13:48" x14ac:dyDescent="0.2"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</row>
    <row r="1139" spans="13:48" x14ac:dyDescent="0.2">
      <c r="M1139" s="89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</row>
    <row r="1140" spans="13:48" x14ac:dyDescent="0.2">
      <c r="M1140" s="89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</row>
    <row r="1141" spans="13:48" x14ac:dyDescent="0.2"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</row>
    <row r="1142" spans="13:48" x14ac:dyDescent="0.2">
      <c r="M1142" s="89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</row>
    <row r="1143" spans="13:48" x14ac:dyDescent="0.2">
      <c r="M1143" s="89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</row>
    <row r="1144" spans="13:48" x14ac:dyDescent="0.2"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</row>
    <row r="1145" spans="13:48" x14ac:dyDescent="0.2">
      <c r="M1145" s="89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</row>
    <row r="1146" spans="13:48" x14ac:dyDescent="0.2">
      <c r="M1146" s="89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</row>
    <row r="1147" spans="13:48" x14ac:dyDescent="0.2"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</row>
    <row r="1148" spans="13:48" x14ac:dyDescent="0.2">
      <c r="M1148" s="89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</row>
    <row r="1149" spans="13:48" x14ac:dyDescent="0.2">
      <c r="M1149" s="89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</row>
    <row r="1150" spans="13:48" x14ac:dyDescent="0.2"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</row>
    <row r="1151" spans="13:48" x14ac:dyDescent="0.2">
      <c r="M1151" s="89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</row>
    <row r="1152" spans="13:48" x14ac:dyDescent="0.2"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</row>
    <row r="1153" spans="13:48" x14ac:dyDescent="0.2"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</row>
    <row r="1154" spans="13:48" x14ac:dyDescent="0.2"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</row>
    <row r="1155" spans="13:48" x14ac:dyDescent="0.2"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</row>
    <row r="1156" spans="13:48" x14ac:dyDescent="0.2"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</row>
    <row r="1157" spans="13:48" x14ac:dyDescent="0.2"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</row>
    <row r="1158" spans="13:48" x14ac:dyDescent="0.2"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</row>
    <row r="1159" spans="13:48" x14ac:dyDescent="0.2"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</row>
    <row r="1160" spans="13:48" x14ac:dyDescent="0.2"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</row>
    <row r="1161" spans="13:48" x14ac:dyDescent="0.2"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</row>
    <row r="1162" spans="13:48" x14ac:dyDescent="0.2"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</row>
    <row r="1163" spans="13:48" x14ac:dyDescent="0.2"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</row>
    <row r="1164" spans="13:48" x14ac:dyDescent="0.2"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</row>
    <row r="1165" spans="13:48" x14ac:dyDescent="0.2"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</row>
    <row r="1166" spans="13:48" x14ac:dyDescent="0.2"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</row>
    <row r="1167" spans="13:48" x14ac:dyDescent="0.2"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</row>
    <row r="1168" spans="13:48" x14ac:dyDescent="0.2"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</row>
    <row r="1169" spans="13:48" x14ac:dyDescent="0.2"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</row>
    <row r="1170" spans="13:48" x14ac:dyDescent="0.2"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</row>
    <row r="1171" spans="13:48" x14ac:dyDescent="0.2"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</row>
    <row r="1172" spans="13:48" x14ac:dyDescent="0.2"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</row>
    <row r="1173" spans="13:48" x14ac:dyDescent="0.2"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</row>
    <row r="1174" spans="13:48" x14ac:dyDescent="0.2"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</row>
    <row r="1175" spans="13:48" x14ac:dyDescent="0.2"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</row>
    <row r="1176" spans="13:48" x14ac:dyDescent="0.2"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</row>
    <row r="1177" spans="13:48" x14ac:dyDescent="0.2"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</row>
    <row r="1178" spans="13:48" x14ac:dyDescent="0.2"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</row>
    <row r="1179" spans="13:48" x14ac:dyDescent="0.2"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</row>
    <row r="1180" spans="13:48" x14ac:dyDescent="0.2"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</row>
    <row r="1181" spans="13:48" x14ac:dyDescent="0.2"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</row>
    <row r="1182" spans="13:48" x14ac:dyDescent="0.2"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</row>
    <row r="1183" spans="13:48" x14ac:dyDescent="0.2"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</row>
    <row r="1184" spans="13:48" x14ac:dyDescent="0.2"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</row>
    <row r="1185" spans="13:48" x14ac:dyDescent="0.2"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</row>
    <row r="1193" spans="13:48" x14ac:dyDescent="0.2">
      <c r="M1193" s="87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</row>
    <row r="1194" spans="13:48" x14ac:dyDescent="0.2">
      <c r="M1194" s="87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</row>
    <row r="1195" spans="13:48" x14ac:dyDescent="0.2">
      <c r="M1195" s="87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</row>
    <row r="1196" spans="13:48" x14ac:dyDescent="0.2">
      <c r="M1196" s="87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</row>
    <row r="1197" spans="13:48" x14ac:dyDescent="0.2"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</row>
    <row r="1198" spans="13:48" x14ac:dyDescent="0.2"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</row>
    <row r="1199" spans="13:48" x14ac:dyDescent="0.2">
      <c r="M1199" s="87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</row>
    <row r="1200" spans="13:48" x14ac:dyDescent="0.2"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</row>
    <row r="1201" spans="13:48" x14ac:dyDescent="0.2"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</row>
    <row r="1202" spans="13:48" x14ac:dyDescent="0.2">
      <c r="M1202" s="87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</row>
    <row r="1203" spans="13:48" x14ac:dyDescent="0.2">
      <c r="M1203" s="87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</row>
    <row r="1204" spans="13:48" x14ac:dyDescent="0.2">
      <c r="M1204" s="87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</row>
    <row r="1205" spans="13:48" x14ac:dyDescent="0.2">
      <c r="M1205" s="87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</row>
    <row r="1206" spans="13:48" x14ac:dyDescent="0.2"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</row>
    <row r="1207" spans="13:48" x14ac:dyDescent="0.2">
      <c r="M1207" s="87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</row>
    <row r="1208" spans="13:48" x14ac:dyDescent="0.2">
      <c r="M1208" s="87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</row>
    <row r="1209" spans="13:48" x14ac:dyDescent="0.2"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</row>
    <row r="1210" spans="13:48" x14ac:dyDescent="0.2">
      <c r="M1210" s="87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</row>
    <row r="1211" spans="13:48" x14ac:dyDescent="0.2">
      <c r="M1211" s="87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</row>
    <row r="1212" spans="13:48" x14ac:dyDescent="0.2">
      <c r="M1212" s="87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</row>
    <row r="1213" spans="13:48" x14ac:dyDescent="0.2">
      <c r="M1213" s="87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</row>
    <row r="1214" spans="13:48" x14ac:dyDescent="0.2">
      <c r="M1214" s="87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</row>
    <row r="1215" spans="13:48" x14ac:dyDescent="0.2">
      <c r="M1215" s="87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</row>
    <row r="1216" spans="13:48" x14ac:dyDescent="0.2">
      <c r="M1216" s="87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</row>
    <row r="1217" spans="13:48" x14ac:dyDescent="0.2"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</row>
    <row r="1218" spans="13:48" x14ac:dyDescent="0.2">
      <c r="M1218" s="87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</row>
    <row r="1219" spans="13:48" x14ac:dyDescent="0.2"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</row>
    <row r="1220" spans="13:48" x14ac:dyDescent="0.2">
      <c r="M1220" s="87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</row>
    <row r="1221" spans="13:48" x14ac:dyDescent="0.2">
      <c r="M1221" s="87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</row>
    <row r="1222" spans="13:48" x14ac:dyDescent="0.2">
      <c r="M1222" s="87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</row>
    <row r="1223" spans="13:48" x14ac:dyDescent="0.2">
      <c r="M1223" s="87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</row>
    <row r="1224" spans="13:48" x14ac:dyDescent="0.2">
      <c r="M1224" s="87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</row>
    <row r="1225" spans="13:48" x14ac:dyDescent="0.2">
      <c r="M1225" s="87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</row>
    <row r="1226" spans="13:48" x14ac:dyDescent="0.2">
      <c r="M1226" s="87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</row>
    <row r="1227" spans="13:48" x14ac:dyDescent="0.2">
      <c r="M1227" s="87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</row>
    <row r="1228" spans="13:48" x14ac:dyDescent="0.2"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</row>
    <row r="1229" spans="13:48" x14ac:dyDescent="0.2"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</row>
    <row r="1230" spans="13:48" x14ac:dyDescent="0.2">
      <c r="M1230" s="87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</row>
    <row r="1231" spans="13:48" x14ac:dyDescent="0.2">
      <c r="M1231" s="87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</row>
    <row r="1232" spans="13:48" x14ac:dyDescent="0.2">
      <c r="M1232" s="87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</row>
    <row r="1233" spans="13:48" x14ac:dyDescent="0.2">
      <c r="M1233" s="87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87"/>
      <c r="AV1233" s="87"/>
    </row>
    <row r="1234" spans="13:48" x14ac:dyDescent="0.2">
      <c r="M1234" s="87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</row>
    <row r="1235" spans="13:48" x14ac:dyDescent="0.2">
      <c r="M1235" s="87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87"/>
      <c r="AV1235" s="87"/>
    </row>
    <row r="1236" spans="13:48" x14ac:dyDescent="0.2">
      <c r="M1236" s="87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</row>
    <row r="1237" spans="13:48" x14ac:dyDescent="0.2">
      <c r="M1237" s="87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</row>
    <row r="1238" spans="13:48" x14ac:dyDescent="0.2">
      <c r="M1238" s="87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</row>
    <row r="1239" spans="13:48" x14ac:dyDescent="0.2">
      <c r="M1239" s="87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</row>
    <row r="1240" spans="13:48" x14ac:dyDescent="0.2">
      <c r="M1240" s="87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87"/>
      <c r="AV1240" s="87"/>
    </row>
    <row r="1241" spans="13:48" x14ac:dyDescent="0.2">
      <c r="M1241" s="87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</row>
    <row r="1242" spans="13:48" x14ac:dyDescent="0.2">
      <c r="M1242" s="87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87"/>
      <c r="AV1242" s="87"/>
    </row>
    <row r="1243" spans="13:48" x14ac:dyDescent="0.2">
      <c r="M1243" s="87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</row>
    <row r="1244" spans="13:48" x14ac:dyDescent="0.2">
      <c r="M1244" s="87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</row>
    <row r="1245" spans="13:48" x14ac:dyDescent="0.2">
      <c r="M1245" s="87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</row>
    <row r="1246" spans="13:48" x14ac:dyDescent="0.2">
      <c r="M1246" s="87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</row>
    <row r="1247" spans="13:48" x14ac:dyDescent="0.2">
      <c r="M1247" s="87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</row>
    <row r="1248" spans="13:48" x14ac:dyDescent="0.2">
      <c r="M1248" s="87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87"/>
      <c r="AV1248" s="87"/>
    </row>
    <row r="1249" spans="13:48" x14ac:dyDescent="0.2">
      <c r="M1249" s="87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</row>
    <row r="1250" spans="13:48" x14ac:dyDescent="0.2">
      <c r="M1250" s="87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</row>
    <row r="1251" spans="13:48" x14ac:dyDescent="0.2">
      <c r="M1251" s="87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87"/>
      <c r="AV1251" s="87"/>
    </row>
    <row r="1252" spans="13:48" x14ac:dyDescent="0.2">
      <c r="M1252" s="87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87"/>
      <c r="AV1252" s="87"/>
    </row>
    <row r="1253" spans="13:48" x14ac:dyDescent="0.2">
      <c r="M1253" s="87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</row>
    <row r="1254" spans="13:48" x14ac:dyDescent="0.2">
      <c r="M1254" s="87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</row>
    <row r="1255" spans="13:48" x14ac:dyDescent="0.2">
      <c r="M1255" s="87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87"/>
      <c r="AV1255" s="87"/>
    </row>
    <row r="1256" spans="13:48" x14ac:dyDescent="0.2">
      <c r="M1256" s="87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</row>
    <row r="1257" spans="13:48" x14ac:dyDescent="0.2">
      <c r="M1257" s="87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</row>
    <row r="1258" spans="13:48" x14ac:dyDescent="0.2">
      <c r="M1258" s="87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</row>
    <row r="1259" spans="13:48" x14ac:dyDescent="0.2"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</row>
    <row r="1260" spans="13:48" x14ac:dyDescent="0.2">
      <c r="M1260" s="87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87"/>
      <c r="AV1260" s="87"/>
    </row>
    <row r="1261" spans="13:48" x14ac:dyDescent="0.2">
      <c r="M1261" s="87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</row>
    <row r="1262" spans="13:48" x14ac:dyDescent="0.2">
      <c r="M1262" s="87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</row>
    <row r="1263" spans="13:48" x14ac:dyDescent="0.2">
      <c r="M1263" s="87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87"/>
      <c r="AV1263" s="87"/>
    </row>
    <row r="1264" spans="13:48" x14ac:dyDescent="0.2"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</row>
    <row r="1265" spans="13:48" x14ac:dyDescent="0.2">
      <c r="M1265" s="87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</row>
    <row r="1266" spans="13:48" x14ac:dyDescent="0.2">
      <c r="M1266" s="87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</row>
    <row r="1267" spans="13:48" x14ac:dyDescent="0.2">
      <c r="M1267" s="87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</row>
    <row r="1268" spans="13:48" x14ac:dyDescent="0.2">
      <c r="M1268" s="87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</row>
    <row r="1269" spans="13:48" x14ac:dyDescent="0.2">
      <c r="M1269" s="87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</row>
    <row r="1270" spans="13:48" x14ac:dyDescent="0.2">
      <c r="M1270" s="87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87"/>
      <c r="AV1270" s="87"/>
    </row>
    <row r="1271" spans="13:48" x14ac:dyDescent="0.2">
      <c r="M1271" s="87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</row>
    <row r="1272" spans="13:48" x14ac:dyDescent="0.2">
      <c r="M1272" s="87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87"/>
      <c r="AV1272" s="87"/>
    </row>
    <row r="1273" spans="13:48" x14ac:dyDescent="0.2">
      <c r="M1273" s="87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</row>
    <row r="1274" spans="13:48" x14ac:dyDescent="0.2">
      <c r="M1274" s="87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</row>
    <row r="1275" spans="13:48" x14ac:dyDescent="0.2">
      <c r="M1275" s="87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87"/>
      <c r="AV1275" s="87"/>
    </row>
    <row r="1276" spans="13:48" x14ac:dyDescent="0.2">
      <c r="M1276" s="87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</row>
    <row r="1277" spans="13:48" x14ac:dyDescent="0.2">
      <c r="M1277" s="87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</row>
    <row r="1278" spans="13:48" x14ac:dyDescent="0.2">
      <c r="M1278" s="87"/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</row>
    <row r="1279" spans="13:48" x14ac:dyDescent="0.2">
      <c r="M1279" s="87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</row>
    <row r="1280" spans="13:48" x14ac:dyDescent="0.2">
      <c r="M1280" s="87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87"/>
      <c r="AV1280" s="87"/>
    </row>
    <row r="1281" spans="13:48" x14ac:dyDescent="0.2">
      <c r="M1281" s="87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87"/>
      <c r="AV1281" s="87"/>
    </row>
    <row r="1282" spans="13:48" x14ac:dyDescent="0.2">
      <c r="M1282" s="87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87"/>
      <c r="AV1282" s="87"/>
    </row>
    <row r="1283" spans="13:48" x14ac:dyDescent="0.2">
      <c r="M1283" s="87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87"/>
      <c r="AV1283" s="87"/>
    </row>
    <row r="1284" spans="13:48" x14ac:dyDescent="0.2">
      <c r="M1284" s="87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87"/>
      <c r="AV1284" s="87"/>
    </row>
    <row r="1285" spans="13:48" x14ac:dyDescent="0.2">
      <c r="M1285" s="87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</row>
    <row r="1286" spans="13:48" x14ac:dyDescent="0.2">
      <c r="M1286" s="87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</row>
    <row r="1287" spans="13:48" x14ac:dyDescent="0.2">
      <c r="M1287" s="87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</row>
    <row r="1288" spans="13:48" x14ac:dyDescent="0.2">
      <c r="M1288" s="87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</row>
    <row r="1289" spans="13:48" x14ac:dyDescent="0.2">
      <c r="M1289" s="87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87"/>
      <c r="AV1289" s="87"/>
    </row>
    <row r="1290" spans="13:48" x14ac:dyDescent="0.2">
      <c r="M1290" s="87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</row>
    <row r="1291" spans="13:48" x14ac:dyDescent="0.2">
      <c r="M1291" s="87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</row>
    <row r="1292" spans="13:48" x14ac:dyDescent="0.2">
      <c r="M1292" s="87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</row>
    <row r="1293" spans="13:48" x14ac:dyDescent="0.2">
      <c r="M1293" s="87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</row>
    <row r="1294" spans="13:48" x14ac:dyDescent="0.2">
      <c r="M1294" s="87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87"/>
      <c r="AV1294" s="87"/>
    </row>
    <row r="1295" spans="13:48" x14ac:dyDescent="0.2">
      <c r="M1295" s="87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</row>
    <row r="1296" spans="13:48" x14ac:dyDescent="0.2">
      <c r="M1296" s="87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</row>
    <row r="1297" spans="13:48" x14ac:dyDescent="0.2">
      <c r="M1297" s="87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</row>
    <row r="1298" spans="13:48" x14ac:dyDescent="0.2">
      <c r="M1298" s="87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</row>
    <row r="1299" spans="13:48" x14ac:dyDescent="0.2">
      <c r="M1299" s="87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87"/>
      <c r="AV1299" s="87"/>
    </row>
    <row r="1300" spans="13:48" x14ac:dyDescent="0.2">
      <c r="M1300" s="87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</row>
    <row r="1301" spans="13:48" x14ac:dyDescent="0.2">
      <c r="M1301" s="87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87"/>
      <c r="AV1301" s="87"/>
    </row>
    <row r="1302" spans="13:48" x14ac:dyDescent="0.2">
      <c r="M1302" s="87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</row>
    <row r="1303" spans="13:48" x14ac:dyDescent="0.2">
      <c r="M1303" s="87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</row>
    <row r="1304" spans="13:48" x14ac:dyDescent="0.2">
      <c r="M1304" s="87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87"/>
      <c r="AV1304" s="87"/>
    </row>
    <row r="1305" spans="13:48" x14ac:dyDescent="0.2">
      <c r="M1305" s="87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87"/>
      <c r="AV1305" s="87"/>
    </row>
    <row r="1306" spans="13:48" x14ac:dyDescent="0.2">
      <c r="M1306" s="87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87"/>
      <c r="AV1306" s="87"/>
    </row>
    <row r="1307" spans="13:48" x14ac:dyDescent="0.2">
      <c r="M1307" s="87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</row>
    <row r="1308" spans="13:48" x14ac:dyDescent="0.2">
      <c r="M1308" s="87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</row>
    <row r="1309" spans="13:48" x14ac:dyDescent="0.2"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87"/>
      <c r="AV1309" s="87"/>
    </row>
    <row r="1310" spans="13:48" x14ac:dyDescent="0.2">
      <c r="M1310" s="87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</row>
    <row r="1311" spans="13:48" x14ac:dyDescent="0.2">
      <c r="M1311" s="87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</row>
    <row r="1312" spans="13:48" x14ac:dyDescent="0.2">
      <c r="M1312" s="87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</row>
    <row r="1313" spans="13:48" x14ac:dyDescent="0.2">
      <c r="M1313" s="87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87"/>
      <c r="AV1313" s="87"/>
    </row>
    <row r="1314" spans="13:48" x14ac:dyDescent="0.2"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</row>
    <row r="1315" spans="13:48" x14ac:dyDescent="0.2">
      <c r="M1315" s="87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87"/>
      <c r="AV1315" s="87"/>
    </row>
    <row r="1316" spans="13:48" x14ac:dyDescent="0.2">
      <c r="M1316" s="87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</row>
    <row r="1317" spans="13:48" x14ac:dyDescent="0.2">
      <c r="M1317" s="87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</row>
    <row r="1318" spans="13:48" x14ac:dyDescent="0.2">
      <c r="M1318" s="87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87"/>
      <c r="AV1318" s="87"/>
    </row>
    <row r="1319" spans="13:48" x14ac:dyDescent="0.2">
      <c r="M1319" s="87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</row>
    <row r="1320" spans="13:48" x14ac:dyDescent="0.2">
      <c r="M1320" s="87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87"/>
      <c r="AV1320" s="87"/>
    </row>
    <row r="1321" spans="13:48" x14ac:dyDescent="0.2">
      <c r="M1321" s="87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</row>
    <row r="1322" spans="13:48" x14ac:dyDescent="0.2">
      <c r="M1322" s="87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</row>
    <row r="1323" spans="13:48" x14ac:dyDescent="0.2">
      <c r="M1323" s="87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</row>
    <row r="1324" spans="13:48" x14ac:dyDescent="0.2">
      <c r="M1324" s="87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</row>
    <row r="1325" spans="13:48" x14ac:dyDescent="0.2">
      <c r="M1325" s="87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</row>
    <row r="1326" spans="13:48" x14ac:dyDescent="0.2">
      <c r="M1326" s="87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87"/>
      <c r="AV1326" s="87"/>
    </row>
    <row r="1327" spans="13:48" x14ac:dyDescent="0.2">
      <c r="M1327" s="87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</row>
    <row r="1328" spans="13:48" x14ac:dyDescent="0.2"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/>
      <c r="AV1328" s="87"/>
    </row>
    <row r="1329" spans="13:48" x14ac:dyDescent="0.2"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/>
      <c r="AV1329" s="87"/>
    </row>
    <row r="1330" spans="13:48" x14ac:dyDescent="0.2">
      <c r="M1330" s="87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87"/>
      <c r="AV1330" s="87"/>
    </row>
    <row r="1331" spans="13:48" x14ac:dyDescent="0.2">
      <c r="M1331" s="87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</row>
    <row r="1332" spans="13:48" x14ac:dyDescent="0.2">
      <c r="M1332" s="87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87"/>
      <c r="AV1332" s="87"/>
    </row>
    <row r="1333" spans="13:48" x14ac:dyDescent="0.2">
      <c r="M1333" s="87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</row>
    <row r="1334" spans="13:48" x14ac:dyDescent="0.2">
      <c r="M1334" s="87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87"/>
      <c r="AV1334" s="87"/>
    </row>
    <row r="1335" spans="13:48" x14ac:dyDescent="0.2">
      <c r="M1335" s="87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</row>
    <row r="1336" spans="13:48" x14ac:dyDescent="0.2"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87"/>
      <c r="AV1336" s="87"/>
    </row>
    <row r="1337" spans="13:48" x14ac:dyDescent="0.2">
      <c r="M1337" s="87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</row>
    <row r="1338" spans="13:48" x14ac:dyDescent="0.2">
      <c r="M1338" s="87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87"/>
      <c r="AV1338" s="87"/>
    </row>
    <row r="1339" spans="13:48" x14ac:dyDescent="0.2">
      <c r="M1339" s="87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</row>
    <row r="1340" spans="13:48" x14ac:dyDescent="0.2">
      <c r="M1340" s="87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87"/>
      <c r="AV1340" s="87"/>
    </row>
    <row r="1341" spans="13:48" x14ac:dyDescent="0.2">
      <c r="M1341" s="87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87"/>
      <c r="AV1341" s="87"/>
    </row>
    <row r="1342" spans="13:48" x14ac:dyDescent="0.2">
      <c r="M1342" s="87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</row>
    <row r="1343" spans="13:48" x14ac:dyDescent="0.2">
      <c r="M1343" s="87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87"/>
      <c r="AV1343" s="87"/>
    </row>
    <row r="1344" spans="13:48" x14ac:dyDescent="0.2">
      <c r="M1344" s="87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87"/>
      <c r="AV1344" s="87"/>
    </row>
    <row r="1345" spans="13:48" x14ac:dyDescent="0.2">
      <c r="M1345" s="87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87"/>
      <c r="AV1345" s="87"/>
    </row>
    <row r="1346" spans="13:48" x14ac:dyDescent="0.2">
      <c r="M1346" s="87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87"/>
      <c r="AV1346" s="87"/>
    </row>
    <row r="1347" spans="13:48" x14ac:dyDescent="0.2">
      <c r="M1347" s="87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87"/>
      <c r="AV1347" s="87"/>
    </row>
    <row r="1348" spans="13:48" x14ac:dyDescent="0.2">
      <c r="M1348" s="87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</row>
    <row r="1349" spans="13:48" x14ac:dyDescent="0.2">
      <c r="M1349" s="87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</row>
    <row r="1350" spans="13:48" x14ac:dyDescent="0.2">
      <c r="M1350" s="87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87"/>
      <c r="AV1350" s="87"/>
    </row>
    <row r="1351" spans="13:48" x14ac:dyDescent="0.2">
      <c r="M1351" s="87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87"/>
      <c r="AV1351" s="87"/>
    </row>
    <row r="1352" spans="13:48" x14ac:dyDescent="0.2">
      <c r="M1352" s="87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</row>
    <row r="1353" spans="13:48" x14ac:dyDescent="0.2">
      <c r="M1353" s="87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</row>
    <row r="1354" spans="13:48" x14ac:dyDescent="0.2"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</row>
    <row r="1355" spans="13:48" x14ac:dyDescent="0.2">
      <c r="M1355" s="87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</row>
    <row r="1356" spans="13:48" x14ac:dyDescent="0.2">
      <c r="M1356" s="87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/>
      <c r="AV1356" s="87"/>
    </row>
    <row r="1357" spans="13:48" x14ac:dyDescent="0.2">
      <c r="M1357" s="87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</row>
    <row r="1358" spans="13:48" x14ac:dyDescent="0.2">
      <c r="M1358" s="87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87"/>
      <c r="AV1358" s="87"/>
    </row>
    <row r="1359" spans="13:48" x14ac:dyDescent="0.2">
      <c r="M1359" s="87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87"/>
      <c r="AV1359" s="87"/>
    </row>
    <row r="1360" spans="13:48" x14ac:dyDescent="0.2">
      <c r="M1360" s="87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87"/>
      <c r="AV1360" s="87"/>
    </row>
    <row r="1361" spans="13:48" x14ac:dyDescent="0.2">
      <c r="M1361" s="87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87"/>
      <c r="AV1361" s="87"/>
    </row>
    <row r="1362" spans="13:48" x14ac:dyDescent="0.2">
      <c r="M1362" s="87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87"/>
      <c r="AV1362" s="87"/>
    </row>
    <row r="1363" spans="13:48" x14ac:dyDescent="0.2">
      <c r="M1363" s="87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</row>
    <row r="1364" spans="13:48" x14ac:dyDescent="0.2">
      <c r="M1364" s="87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87"/>
      <c r="AV1364" s="87"/>
    </row>
    <row r="1365" spans="13:48" x14ac:dyDescent="0.2">
      <c r="M1365" s="87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87"/>
      <c r="AV1365" s="87"/>
    </row>
    <row r="1366" spans="13:48" x14ac:dyDescent="0.2">
      <c r="M1366" s="87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87"/>
      <c r="AV1366" s="87"/>
    </row>
    <row r="1367" spans="13:48" x14ac:dyDescent="0.2">
      <c r="M1367" s="87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87"/>
      <c r="AV1367" s="87"/>
    </row>
    <row r="1368" spans="13:48" x14ac:dyDescent="0.2">
      <c r="M1368" s="87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87"/>
      <c r="AV1368" s="87"/>
    </row>
    <row r="1369" spans="13:48" x14ac:dyDescent="0.2">
      <c r="M1369" s="87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</row>
    <row r="1370" spans="13:48" x14ac:dyDescent="0.2">
      <c r="M1370" s="87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87"/>
      <c r="AV1370" s="87"/>
    </row>
    <row r="1371" spans="13:48" x14ac:dyDescent="0.2">
      <c r="M1371" s="87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87"/>
      <c r="AV1371" s="87"/>
    </row>
    <row r="1372" spans="13:48" x14ac:dyDescent="0.2">
      <c r="M1372" s="87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87"/>
      <c r="AV1372" s="87"/>
    </row>
    <row r="1373" spans="13:48" x14ac:dyDescent="0.2">
      <c r="M1373" s="87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87"/>
      <c r="AV1373" s="87"/>
    </row>
    <row r="1374" spans="13:48" x14ac:dyDescent="0.2">
      <c r="M1374" s="87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</row>
    <row r="1375" spans="13:48" x14ac:dyDescent="0.2">
      <c r="M1375" s="87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</row>
    <row r="1376" spans="13:48" x14ac:dyDescent="0.2">
      <c r="M1376" s="87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87"/>
      <c r="AV1376" s="87"/>
    </row>
    <row r="1377" spans="13:48" x14ac:dyDescent="0.2">
      <c r="M1377" s="87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</row>
    <row r="1378" spans="13:48" x14ac:dyDescent="0.2">
      <c r="M1378" s="87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</row>
    <row r="1379" spans="13:48" x14ac:dyDescent="0.2">
      <c r="M1379" s="87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</row>
    <row r="1380" spans="13:48" x14ac:dyDescent="0.2">
      <c r="M1380" s="87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87"/>
      <c r="AV1380" s="87"/>
    </row>
    <row r="1381" spans="13:48" x14ac:dyDescent="0.2">
      <c r="M1381" s="87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</row>
    <row r="1382" spans="13:48" x14ac:dyDescent="0.2">
      <c r="M1382" s="87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87"/>
      <c r="AV1382" s="87"/>
    </row>
    <row r="1383" spans="13:48" x14ac:dyDescent="0.2">
      <c r="M1383" s="87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87"/>
      <c r="AV1383" s="87"/>
    </row>
    <row r="1384" spans="13:48" x14ac:dyDescent="0.2">
      <c r="M1384" s="87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87"/>
      <c r="AV1384" s="87"/>
    </row>
    <row r="1385" spans="13:48" x14ac:dyDescent="0.2">
      <c r="M1385" s="87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87"/>
      <c r="AV1385" s="87"/>
    </row>
    <row r="1386" spans="13:48" x14ac:dyDescent="0.2">
      <c r="M1386" s="87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</row>
    <row r="1387" spans="13:48" x14ac:dyDescent="0.2">
      <c r="M1387" s="87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</row>
    <row r="1388" spans="13:48" x14ac:dyDescent="0.2">
      <c r="M1388" s="87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</row>
    <row r="1389" spans="13:48" x14ac:dyDescent="0.2">
      <c r="M1389" s="87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</row>
    <row r="1390" spans="13:48" x14ac:dyDescent="0.2">
      <c r="M1390" s="87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87"/>
      <c r="AV1390" s="87"/>
    </row>
    <row r="1391" spans="13:48" x14ac:dyDescent="0.2">
      <c r="M1391" s="87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87"/>
      <c r="AV1391" s="87"/>
    </row>
    <row r="1392" spans="13:48" x14ac:dyDescent="0.2">
      <c r="M1392" s="87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87"/>
      <c r="AV1392" s="87"/>
    </row>
    <row r="1393" spans="13:48" x14ac:dyDescent="0.2">
      <c r="M1393" s="87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</row>
    <row r="1394" spans="13:48" x14ac:dyDescent="0.2">
      <c r="M1394" s="87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</row>
    <row r="1395" spans="13:48" x14ac:dyDescent="0.2">
      <c r="M1395" s="87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</row>
    <row r="1396" spans="13:48" x14ac:dyDescent="0.2">
      <c r="M1396" s="87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</row>
    <row r="1397" spans="13:48" x14ac:dyDescent="0.2">
      <c r="M1397" s="87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87"/>
      <c r="AV1397" s="87"/>
    </row>
    <row r="1398" spans="13:48" x14ac:dyDescent="0.2">
      <c r="M1398" s="87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</row>
    <row r="1399" spans="13:48" x14ac:dyDescent="0.2"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87"/>
      <c r="AV1399" s="87"/>
    </row>
    <row r="1400" spans="13:48" x14ac:dyDescent="0.2">
      <c r="M1400" s="87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</row>
    <row r="1401" spans="13:48" x14ac:dyDescent="0.2">
      <c r="M1401" s="87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</row>
    <row r="1402" spans="13:48" x14ac:dyDescent="0.2">
      <c r="M1402" s="87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</row>
    <row r="1403" spans="13:48" x14ac:dyDescent="0.2">
      <c r="M1403" s="87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</row>
    <row r="1404" spans="13:48" x14ac:dyDescent="0.2">
      <c r="M1404" s="87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</row>
    <row r="1405" spans="13:48" x14ac:dyDescent="0.2">
      <c r="M1405" s="87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</row>
    <row r="1406" spans="13:48" x14ac:dyDescent="0.2">
      <c r="M1406" s="87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</row>
    <row r="1407" spans="13:48" x14ac:dyDescent="0.2">
      <c r="M1407" s="87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</row>
    <row r="1408" spans="13:48" x14ac:dyDescent="0.2">
      <c r="M1408" s="87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87"/>
      <c r="AV1408" s="87"/>
    </row>
    <row r="1409" spans="13:48" x14ac:dyDescent="0.2">
      <c r="M1409" s="87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</row>
    <row r="1410" spans="13:48" x14ac:dyDescent="0.2">
      <c r="M1410" s="87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87"/>
      <c r="AV1410" s="87"/>
    </row>
    <row r="1411" spans="13:48" x14ac:dyDescent="0.2">
      <c r="M1411" s="87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</row>
    <row r="1412" spans="13:48" x14ac:dyDescent="0.2">
      <c r="M1412" s="87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87"/>
      <c r="AV1412" s="87"/>
    </row>
    <row r="1413" spans="13:48" x14ac:dyDescent="0.2">
      <c r="M1413" s="87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</row>
    <row r="1414" spans="13:48" x14ac:dyDescent="0.2">
      <c r="M1414" s="87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87"/>
      <c r="AV1414" s="87"/>
    </row>
    <row r="1415" spans="13:48" x14ac:dyDescent="0.2">
      <c r="M1415" s="87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87"/>
      <c r="AV1415" s="87"/>
    </row>
    <row r="1416" spans="13:48" x14ac:dyDescent="0.2">
      <c r="M1416" s="87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</row>
    <row r="1417" spans="13:48" x14ac:dyDescent="0.2"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</row>
    <row r="1418" spans="13:48" x14ac:dyDescent="0.2"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87"/>
      <c r="AV1418" s="87"/>
    </row>
    <row r="1419" spans="13:48" x14ac:dyDescent="0.2"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87"/>
      <c r="AV1419" s="87"/>
    </row>
    <row r="1420" spans="13:48" x14ac:dyDescent="0.2"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87"/>
      <c r="AV1420" s="87"/>
    </row>
    <row r="1421" spans="13:48" x14ac:dyDescent="0.2"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</row>
    <row r="1422" spans="13:48" x14ac:dyDescent="0.2"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87"/>
      <c r="AV1422" s="87"/>
    </row>
    <row r="1423" spans="13:48" x14ac:dyDescent="0.2"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</row>
    <row r="1424" spans="13:48" x14ac:dyDescent="0.2"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</row>
    <row r="1425" spans="13:48" x14ac:dyDescent="0.2"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</row>
    <row r="1426" spans="13:48" x14ac:dyDescent="0.2"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</row>
    <row r="1427" spans="13:48" x14ac:dyDescent="0.2"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87"/>
      <c r="AV1427" s="87"/>
    </row>
    <row r="1428" spans="13:48" x14ac:dyDescent="0.2"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87"/>
      <c r="AV1428" s="87"/>
    </row>
    <row r="1429" spans="13:48" x14ac:dyDescent="0.2"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</row>
    <row r="1430" spans="13:48" x14ac:dyDescent="0.2"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87"/>
      <c r="AV1430" s="87"/>
    </row>
    <row r="1431" spans="13:48" x14ac:dyDescent="0.2"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</row>
    <row r="1432" spans="13:48" x14ac:dyDescent="0.2"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</row>
    <row r="1433" spans="13:48" x14ac:dyDescent="0.2"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</row>
    <row r="1434" spans="13:48" x14ac:dyDescent="0.2"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</row>
    <row r="1435" spans="13:48" x14ac:dyDescent="0.2"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87"/>
      <c r="AV1435" s="87"/>
    </row>
    <row r="1436" spans="13:48" x14ac:dyDescent="0.2"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</row>
    <row r="1437" spans="13:48" x14ac:dyDescent="0.2"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87"/>
      <c r="AV1437" s="87"/>
    </row>
    <row r="1438" spans="13:48" x14ac:dyDescent="0.2"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87"/>
      <c r="AV1438" s="87"/>
    </row>
    <row r="1439" spans="13:48" x14ac:dyDescent="0.2"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87"/>
      <c r="AV1439" s="87"/>
    </row>
    <row r="1440" spans="13:48" x14ac:dyDescent="0.2"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</row>
    <row r="1441" spans="13:48" x14ac:dyDescent="0.2"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</row>
    <row r="1442" spans="13:48" x14ac:dyDescent="0.2"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87"/>
      <c r="AV1442" s="87"/>
    </row>
    <row r="1443" spans="13:48" x14ac:dyDescent="0.2"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</row>
    <row r="1444" spans="13:48" x14ac:dyDescent="0.2"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</row>
    <row r="1445" spans="13:48" x14ac:dyDescent="0.2"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</row>
    <row r="1446" spans="13:48" x14ac:dyDescent="0.2"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87"/>
      <c r="AV1446" s="87"/>
    </row>
    <row r="1447" spans="13:48" x14ac:dyDescent="0.2"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87"/>
      <c r="AV1447" s="87"/>
    </row>
    <row r="1448" spans="13:48" x14ac:dyDescent="0.2"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</row>
    <row r="1449" spans="13:48" x14ac:dyDescent="0.2"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</row>
    <row r="1450" spans="13:48" x14ac:dyDescent="0.2"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</row>
    <row r="1451" spans="13:48" x14ac:dyDescent="0.2"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</row>
    <row r="1452" spans="13:48" x14ac:dyDescent="0.2"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87"/>
      <c r="AV1452" s="87"/>
    </row>
    <row r="1453" spans="13:48" x14ac:dyDescent="0.2"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</row>
    <row r="1454" spans="13:48" x14ac:dyDescent="0.2"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</row>
    <row r="1455" spans="13:48" x14ac:dyDescent="0.2"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87"/>
      <c r="AV1455" s="87"/>
    </row>
    <row r="1456" spans="13:48" x14ac:dyDescent="0.2"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</row>
    <row r="1457" spans="13:48" x14ac:dyDescent="0.2"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87"/>
      <c r="AV1457" s="87"/>
    </row>
    <row r="1458" spans="13:48" x14ac:dyDescent="0.2"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</row>
    <row r="1459" spans="13:48" x14ac:dyDescent="0.2"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</row>
    <row r="1460" spans="13:48" x14ac:dyDescent="0.2"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87"/>
      <c r="AV1460" s="87"/>
    </row>
    <row r="1461" spans="13:48" x14ac:dyDescent="0.2"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87"/>
      <c r="AV1461" s="87"/>
    </row>
    <row r="1462" spans="13:48" x14ac:dyDescent="0.2"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87"/>
      <c r="AV1462" s="87"/>
    </row>
    <row r="1463" spans="13:48" x14ac:dyDescent="0.2">
      <c r="M1463" s="87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  <c r="X1463" s="87"/>
      <c r="Y1463" s="87"/>
      <c r="Z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/>
      <c r="AU1463" s="87"/>
      <c r="AV1463" s="87"/>
    </row>
  </sheetData>
  <mergeCells count="49">
    <mergeCell ref="AY2:BI2"/>
    <mergeCell ref="M32:S32"/>
    <mergeCell ref="T32:Z32"/>
    <mergeCell ref="AA32:AF32"/>
    <mergeCell ref="AM19:AN19"/>
    <mergeCell ref="AP19:AQ19"/>
    <mergeCell ref="AA2:AG2"/>
    <mergeCell ref="AH2:AO2"/>
    <mergeCell ref="AP2:AV2"/>
    <mergeCell ref="M19:S19"/>
    <mergeCell ref="T19:Z19"/>
    <mergeCell ref="AA19:AG19"/>
    <mergeCell ref="T4:U4"/>
    <mergeCell ref="M2:R2"/>
    <mergeCell ref="S2:Z2"/>
    <mergeCell ref="Q40:AC40"/>
    <mergeCell ref="D1:I3"/>
    <mergeCell ref="A1:C3"/>
    <mergeCell ref="AN41:AO41"/>
    <mergeCell ref="AP41:AQ41"/>
    <mergeCell ref="AR41:AS41"/>
    <mergeCell ref="V4:W4"/>
    <mergeCell ref="X4:Y4"/>
    <mergeCell ref="Z41:AA41"/>
    <mergeCell ref="AB41:AC41"/>
    <mergeCell ref="AH41:AI41"/>
    <mergeCell ref="AJ41:AK41"/>
    <mergeCell ref="AL41:AM41"/>
    <mergeCell ref="M41:O41"/>
    <mergeCell ref="R41:S41"/>
    <mergeCell ref="T41:U41"/>
    <mergeCell ref="V41:W41"/>
    <mergeCell ref="X41:Y41"/>
    <mergeCell ref="L1:L3"/>
    <mergeCell ref="AR57:AS57"/>
    <mergeCell ref="AT57:AU57"/>
    <mergeCell ref="AH57:AI57"/>
    <mergeCell ref="AJ57:AK57"/>
    <mergeCell ref="AL57:AM57"/>
    <mergeCell ref="AN57:AO57"/>
    <mergeCell ref="AP57:AQ57"/>
    <mergeCell ref="Q56:AC56"/>
    <mergeCell ref="R57:S57"/>
    <mergeCell ref="T57:U57"/>
    <mergeCell ref="V57:W57"/>
    <mergeCell ref="X57:Y57"/>
    <mergeCell ref="Z57:AA57"/>
    <mergeCell ref="AB57:AC57"/>
    <mergeCell ref="AG40:AS40"/>
  </mergeCells>
  <dataValidations count="2">
    <dataValidation type="list" allowBlank="1" showInputMessage="1" showErrorMessage="1" sqref="J9:J179">
      <formula1>Usuario</formula1>
    </dataValidation>
    <dataValidation type="list" allowBlank="1" showInputMessage="1" showErrorMessage="1" sqref="K9:K204">
      <formula1>INDIRECT(J9)</formula1>
    </dataValidation>
  </dataValidations>
  <pageMargins left="0.7" right="0.7" top="0.75" bottom="0.75" header="0.3" footer="0.3"/>
  <pageSetup paperSize="25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LEYENDA!$A$2:$A$15</xm:f>
          </x14:formula1>
          <xm:sqref>J180:J218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L33"/>
  <sheetViews>
    <sheetView topLeftCell="A13" zoomScaleNormal="100" workbookViewId="0">
      <selection activeCell="M27" sqref="M27"/>
    </sheetView>
  </sheetViews>
  <sheetFormatPr baseColWidth="10" defaultRowHeight="12.75" x14ac:dyDescent="0.2"/>
  <cols>
    <col min="3" max="3" width="11.85546875" bestFit="1" customWidth="1"/>
    <col min="5" max="5" width="16.42578125" customWidth="1"/>
    <col min="12" max="12" width="16.5703125" customWidth="1"/>
  </cols>
  <sheetData>
    <row r="1" spans="1:12" x14ac:dyDescent="0.2">
      <c r="A1" s="703" t="s">
        <v>159</v>
      </c>
      <c r="B1" s="703"/>
      <c r="C1" s="703"/>
      <c r="D1" s="703"/>
      <c r="E1" s="703"/>
      <c r="F1" s="703"/>
      <c r="G1" s="87"/>
      <c r="H1" s="87"/>
      <c r="I1" s="87"/>
      <c r="J1" s="87"/>
      <c r="K1" s="87"/>
      <c r="L1" s="87"/>
    </row>
    <row r="2" spans="1:12" ht="15" x14ac:dyDescent="0.25">
      <c r="A2" s="703"/>
      <c r="B2" s="703"/>
      <c r="C2" s="703"/>
      <c r="D2" s="703"/>
      <c r="E2" s="703"/>
      <c r="F2" s="703"/>
      <c r="G2" s="315"/>
      <c r="H2" s="315"/>
      <c r="I2" s="315"/>
      <c r="J2" s="315"/>
      <c r="K2" s="315"/>
      <c r="L2" s="315"/>
    </row>
    <row r="3" spans="1:12" ht="15" x14ac:dyDescent="0.25">
      <c r="A3" s="703" t="s">
        <v>160</v>
      </c>
      <c r="B3" s="703"/>
      <c r="C3" s="703"/>
      <c r="D3" s="703"/>
      <c r="E3" s="703"/>
      <c r="F3" s="703"/>
      <c r="G3" s="315"/>
      <c r="H3" s="315"/>
      <c r="I3" s="315"/>
      <c r="J3" s="315"/>
      <c r="K3" s="315"/>
      <c r="L3" s="315"/>
    </row>
    <row r="4" spans="1:12" ht="15" x14ac:dyDescent="0.25">
      <c r="A4" s="703" t="s">
        <v>161</v>
      </c>
      <c r="B4" s="703"/>
      <c r="C4" s="703"/>
      <c r="D4" s="703"/>
      <c r="E4" s="703"/>
      <c r="F4" s="703"/>
      <c r="G4" s="315"/>
      <c r="H4" s="315"/>
      <c r="I4" s="315"/>
      <c r="J4" s="316"/>
      <c r="K4" s="316"/>
      <c r="L4" s="316"/>
    </row>
    <row r="5" spans="1:12" ht="15.75" x14ac:dyDescent="0.25">
      <c r="A5" s="87"/>
      <c r="B5" s="243"/>
      <c r="C5" s="243"/>
      <c r="D5" s="243"/>
      <c r="E5" s="243"/>
      <c r="F5" s="243"/>
      <c r="G5" s="243"/>
      <c r="H5" s="87"/>
      <c r="I5" s="87"/>
      <c r="J5" s="87"/>
      <c r="K5" s="87"/>
      <c r="L5" s="87"/>
    </row>
    <row r="6" spans="1:12" ht="15.75" x14ac:dyDescent="0.25">
      <c r="A6" s="87"/>
      <c r="B6" s="704" t="s">
        <v>162</v>
      </c>
      <c r="C6" s="704"/>
      <c r="D6" s="704"/>
      <c r="E6" s="704"/>
      <c r="F6" s="243"/>
      <c r="G6" s="243"/>
      <c r="H6" s="87"/>
      <c r="I6" s="87"/>
      <c r="J6" s="87"/>
      <c r="K6" s="87"/>
      <c r="L6" s="87"/>
    </row>
    <row r="7" spans="1:12" ht="15.75" x14ac:dyDescent="0.25">
      <c r="A7" s="87"/>
      <c r="B7" s="243"/>
      <c r="C7" s="243"/>
      <c r="D7" s="243"/>
      <c r="E7" s="243"/>
      <c r="F7" s="243"/>
      <c r="G7" s="243"/>
      <c r="H7" s="87"/>
      <c r="I7" s="87"/>
      <c r="J7" s="87"/>
      <c r="K7" s="87"/>
      <c r="L7" s="87"/>
    </row>
    <row r="8" spans="1:12" ht="15.75" x14ac:dyDescent="0.25">
      <c r="A8" s="87"/>
      <c r="B8" s="243" t="s">
        <v>163</v>
      </c>
      <c r="C8" s="243"/>
      <c r="D8" s="243"/>
      <c r="E8" s="705" t="s">
        <v>164</v>
      </c>
      <c r="F8" s="705"/>
      <c r="G8" s="243"/>
      <c r="H8" s="87"/>
      <c r="I8" s="87"/>
      <c r="J8" s="87"/>
      <c r="K8" s="87"/>
      <c r="L8" s="87"/>
    </row>
    <row r="9" spans="1:12" ht="15.75" x14ac:dyDescent="0.25">
      <c r="A9" s="87"/>
      <c r="B9" s="243" t="s">
        <v>165</v>
      </c>
      <c r="C9" s="243"/>
      <c r="D9" s="243"/>
      <c r="E9" s="98" t="s">
        <v>166</v>
      </c>
      <c r="F9" s="98"/>
      <c r="G9" s="243"/>
      <c r="H9" s="87"/>
      <c r="I9" s="87"/>
      <c r="J9" s="87"/>
      <c r="K9" s="87"/>
      <c r="L9" s="87"/>
    </row>
    <row r="10" spans="1:12" ht="15.75" x14ac:dyDescent="0.25">
      <c r="A10" s="87"/>
      <c r="B10" s="243"/>
      <c r="C10" s="243"/>
      <c r="D10" s="243"/>
      <c r="E10" s="98" t="s">
        <v>167</v>
      </c>
      <c r="F10" s="98"/>
      <c r="G10" s="243"/>
      <c r="H10" s="87"/>
      <c r="I10" s="87"/>
      <c r="J10" s="87"/>
      <c r="K10" s="87"/>
      <c r="L10" s="87"/>
    </row>
    <row r="11" spans="1:12" ht="15.75" x14ac:dyDescent="0.25">
      <c r="A11" s="87"/>
      <c r="B11" s="243" t="s">
        <v>168</v>
      </c>
      <c r="C11" s="243"/>
      <c r="D11" s="243"/>
      <c r="E11" s="702"/>
      <c r="F11" s="702"/>
      <c r="G11" s="243"/>
      <c r="H11" s="87"/>
      <c r="I11" s="87"/>
      <c r="J11" s="87"/>
      <c r="K11" s="87"/>
      <c r="L11" s="87"/>
    </row>
    <row r="12" spans="1:12" ht="15.75" x14ac:dyDescent="0.25">
      <c r="A12" s="87"/>
      <c r="B12" s="243"/>
      <c r="C12" s="243"/>
      <c r="D12" s="243"/>
      <c r="E12" s="243"/>
      <c r="F12" s="243"/>
      <c r="G12" s="243"/>
      <c r="H12" s="87"/>
      <c r="I12" s="87"/>
      <c r="J12" s="87"/>
      <c r="K12" s="87"/>
      <c r="L12" s="87"/>
    </row>
    <row r="13" spans="1:12" ht="15.75" x14ac:dyDescent="0.25">
      <c r="A13" s="87"/>
      <c r="B13" s="317" t="s">
        <v>169</v>
      </c>
      <c r="C13" s="317"/>
      <c r="D13" s="243"/>
      <c r="E13" s="243"/>
      <c r="F13" s="243"/>
      <c r="G13" s="243"/>
      <c r="H13" s="87"/>
      <c r="I13" s="87"/>
      <c r="J13" s="87"/>
      <c r="K13" s="87"/>
      <c r="L13" s="87"/>
    </row>
    <row r="14" spans="1:12" ht="15.75" x14ac:dyDescent="0.25">
      <c r="A14" s="87"/>
      <c r="B14" s="243"/>
      <c r="C14" s="243"/>
      <c r="D14" s="243"/>
      <c r="E14" s="243"/>
      <c r="F14" s="243"/>
      <c r="G14" s="243"/>
      <c r="H14" s="87"/>
      <c r="I14" s="87"/>
      <c r="J14" s="87"/>
      <c r="K14" s="87"/>
      <c r="L14" s="87"/>
    </row>
    <row r="15" spans="1:12" ht="15.75" x14ac:dyDescent="0.25">
      <c r="A15" s="87"/>
      <c r="B15" s="318" t="s">
        <v>170</v>
      </c>
      <c r="C15" s="318" t="s">
        <v>0</v>
      </c>
      <c r="D15" s="318" t="s">
        <v>171</v>
      </c>
      <c r="E15" s="318" t="s">
        <v>172</v>
      </c>
      <c r="F15" s="243"/>
      <c r="G15" s="243"/>
      <c r="H15" s="87"/>
      <c r="I15" s="708" t="s">
        <v>173</v>
      </c>
      <c r="J15" s="709"/>
      <c r="K15" s="709"/>
      <c r="L15" s="710"/>
    </row>
    <row r="16" spans="1:12" ht="15.75" x14ac:dyDescent="0.25">
      <c r="A16" s="87"/>
      <c r="B16" s="319" t="s">
        <v>174</v>
      </c>
      <c r="C16" s="320"/>
      <c r="D16" s="321"/>
      <c r="E16" s="322"/>
      <c r="F16" s="243"/>
      <c r="G16" s="243"/>
      <c r="H16" s="87"/>
      <c r="I16" s="323" t="s">
        <v>175</v>
      </c>
      <c r="J16" s="323"/>
      <c r="K16" s="323" t="s">
        <v>5</v>
      </c>
      <c r="L16" s="324" t="s">
        <v>176</v>
      </c>
    </row>
    <row r="17" spans="1:12" ht="15.75" x14ac:dyDescent="0.25">
      <c r="A17" s="87"/>
      <c r="B17" s="319" t="s">
        <v>177</v>
      </c>
      <c r="C17" s="320"/>
      <c r="D17" s="321"/>
      <c r="E17" s="322"/>
      <c r="F17" s="243"/>
      <c r="G17" s="243"/>
      <c r="H17" s="87"/>
      <c r="I17" s="325" t="s">
        <v>178</v>
      </c>
      <c r="J17" s="326"/>
      <c r="K17" s="326">
        <v>0</v>
      </c>
      <c r="L17" s="327"/>
    </row>
    <row r="18" spans="1:12" ht="15.75" x14ac:dyDescent="0.25">
      <c r="A18" s="87"/>
      <c r="B18" s="319" t="s">
        <v>179</v>
      </c>
      <c r="C18" s="320"/>
      <c r="D18" s="321"/>
      <c r="E18" s="322"/>
      <c r="F18" s="243"/>
      <c r="G18" s="243"/>
      <c r="H18" s="87"/>
      <c r="I18" s="325" t="s">
        <v>2</v>
      </c>
      <c r="J18" s="326"/>
      <c r="K18" s="326">
        <v>0</v>
      </c>
      <c r="L18" s="327"/>
    </row>
    <row r="19" spans="1:12" ht="15.75" x14ac:dyDescent="0.25">
      <c r="A19" s="87"/>
      <c r="B19" s="319" t="s">
        <v>180</v>
      </c>
      <c r="C19" s="320"/>
      <c r="D19" s="321"/>
      <c r="E19" s="322"/>
      <c r="F19" s="243"/>
      <c r="G19" s="243"/>
      <c r="H19" s="87"/>
      <c r="I19" s="325" t="s">
        <v>181</v>
      </c>
      <c r="J19" s="326"/>
      <c r="K19" s="326">
        <v>0</v>
      </c>
      <c r="L19" s="327"/>
    </row>
    <row r="20" spans="1:12" ht="15.75" x14ac:dyDescent="0.25">
      <c r="A20" s="87"/>
      <c r="B20" s="319" t="s">
        <v>182</v>
      </c>
      <c r="C20" s="320"/>
      <c r="D20" s="321"/>
      <c r="E20" s="322"/>
      <c r="F20" s="243"/>
      <c r="G20" s="243"/>
      <c r="H20" s="87"/>
      <c r="I20" s="711" t="s">
        <v>176</v>
      </c>
      <c r="J20" s="712"/>
      <c r="K20" s="713"/>
      <c r="L20" s="328">
        <f>SUM(L16:L19)</f>
        <v>0</v>
      </c>
    </row>
    <row r="21" spans="1:12" ht="15.75" x14ac:dyDescent="0.25">
      <c r="A21" s="87"/>
      <c r="B21" s="319" t="s">
        <v>183</v>
      </c>
      <c r="C21" s="320"/>
      <c r="D21" s="321"/>
      <c r="E21" s="322"/>
      <c r="F21" s="243"/>
      <c r="G21" s="243"/>
      <c r="H21" s="87"/>
      <c r="I21" s="714"/>
      <c r="J21" s="715"/>
      <c r="K21" s="716"/>
      <c r="L21" s="329"/>
    </row>
    <row r="22" spans="1:12" ht="15.75" x14ac:dyDescent="0.25">
      <c r="A22" s="87"/>
      <c r="B22" s="319"/>
      <c r="C22" s="320"/>
      <c r="D22" s="321"/>
      <c r="E22" s="322"/>
      <c r="F22" s="243"/>
      <c r="G22" s="243"/>
      <c r="H22" s="87"/>
      <c r="I22" s="711" t="s">
        <v>184</v>
      </c>
      <c r="J22" s="712"/>
      <c r="K22" s="713"/>
      <c r="L22" s="328">
        <f>SUM(L13+L20)</f>
        <v>0</v>
      </c>
    </row>
    <row r="23" spans="1:12" ht="15.75" x14ac:dyDescent="0.25">
      <c r="A23" s="87"/>
      <c r="B23" s="330" t="s">
        <v>185</v>
      </c>
      <c r="C23" s="331"/>
      <c r="D23" s="332">
        <f>SUM(D16:D22)</f>
        <v>0</v>
      </c>
      <c r="E23" s="333">
        <f>SUM(E16:E22)</f>
        <v>0</v>
      </c>
      <c r="F23" s="243"/>
      <c r="G23" s="243"/>
      <c r="H23" s="87"/>
      <c r="I23" s="87"/>
      <c r="J23" s="87"/>
      <c r="K23" s="87"/>
      <c r="L23" s="87"/>
    </row>
    <row r="24" spans="1:12" ht="15.75" x14ac:dyDescent="0.25">
      <c r="A24" s="87"/>
      <c r="B24" s="243"/>
      <c r="C24" s="243"/>
      <c r="D24" s="243"/>
      <c r="E24" s="243"/>
      <c r="F24" s="243"/>
      <c r="G24" s="243"/>
      <c r="H24" s="87"/>
      <c r="I24" s="87"/>
      <c r="J24" s="87"/>
      <c r="K24" s="87"/>
      <c r="L24" s="87"/>
    </row>
    <row r="25" spans="1:12" ht="15.75" x14ac:dyDescent="0.25">
      <c r="A25" s="87"/>
      <c r="B25" s="707" t="s">
        <v>186</v>
      </c>
      <c r="C25" s="707"/>
      <c r="D25" s="707"/>
      <c r="E25" s="707"/>
      <c r="F25" s="243"/>
      <c r="G25" s="243"/>
      <c r="H25" s="87"/>
      <c r="I25" s="87"/>
      <c r="J25" s="87"/>
      <c r="K25" s="87"/>
      <c r="L25" s="87"/>
    </row>
    <row r="26" spans="1:12" ht="15.75" x14ac:dyDescent="0.25">
      <c r="A26" s="87"/>
      <c r="B26" s="334" t="s">
        <v>187</v>
      </c>
      <c r="C26" s="326"/>
      <c r="D26" s="326"/>
      <c r="F26" s="97" t="s">
        <v>188</v>
      </c>
      <c r="G26" s="97">
        <v>0</v>
      </c>
      <c r="H26" s="120" t="s">
        <v>7</v>
      </c>
      <c r="I26" s="120"/>
      <c r="J26" s="87"/>
      <c r="K26" s="87"/>
      <c r="L26" s="87"/>
    </row>
    <row r="27" spans="1:12" ht="15.75" x14ac:dyDescent="0.25">
      <c r="A27" s="87"/>
      <c r="B27" s="335" t="s">
        <v>177</v>
      </c>
      <c r="C27" s="326"/>
      <c r="D27" s="326">
        <v>0</v>
      </c>
      <c r="E27" s="327"/>
      <c r="F27" s="97" t="s">
        <v>188</v>
      </c>
      <c r="G27" s="97">
        <v>0</v>
      </c>
      <c r="H27" s="120"/>
      <c r="I27" s="336"/>
      <c r="J27" s="336"/>
      <c r="K27" s="336"/>
      <c r="L27" s="336"/>
    </row>
    <row r="28" spans="1:12" ht="15.75" x14ac:dyDescent="0.25">
      <c r="A28" s="87"/>
      <c r="B28" s="335"/>
      <c r="C28" s="326"/>
      <c r="D28" s="326">
        <v>0</v>
      </c>
      <c r="E28" s="327">
        <v>0</v>
      </c>
      <c r="F28" s="97" t="s">
        <v>188</v>
      </c>
      <c r="G28" s="97">
        <v>0</v>
      </c>
      <c r="H28" s="120"/>
      <c r="I28" s="87"/>
      <c r="J28" s="87"/>
      <c r="K28" s="87"/>
      <c r="L28" s="87"/>
    </row>
    <row r="29" spans="1:12" ht="15.75" x14ac:dyDescent="0.25">
      <c r="A29" s="87"/>
      <c r="B29" s="335"/>
      <c r="C29" s="326"/>
      <c r="D29" s="326">
        <v>0</v>
      </c>
      <c r="E29" s="327">
        <v>0</v>
      </c>
      <c r="F29" s="97" t="s">
        <v>188</v>
      </c>
      <c r="G29" s="97">
        <v>0</v>
      </c>
      <c r="H29" s="97"/>
      <c r="I29" s="336"/>
      <c r="J29" s="336"/>
      <c r="K29" s="336"/>
      <c r="L29" s="336"/>
    </row>
    <row r="30" spans="1:12" ht="15.75" x14ac:dyDescent="0.25">
      <c r="A30" s="87"/>
      <c r="B30" s="707" t="s">
        <v>185</v>
      </c>
      <c r="C30" s="707"/>
      <c r="D30" s="707"/>
      <c r="E30" s="328">
        <f>SUM(E27:E29)</f>
        <v>0</v>
      </c>
      <c r="F30" s="243"/>
      <c r="G30" s="317"/>
      <c r="H30" s="336"/>
      <c r="I30" s="336"/>
      <c r="J30" s="336"/>
      <c r="K30" s="336"/>
      <c r="L30" s="336"/>
    </row>
    <row r="31" spans="1:12" ht="15.75" x14ac:dyDescent="0.25">
      <c r="A31" s="87"/>
      <c r="B31" s="706"/>
      <c r="C31" s="706"/>
      <c r="D31" s="706"/>
      <c r="E31" s="329"/>
      <c r="F31" s="243"/>
      <c r="G31" s="243"/>
      <c r="H31" s="87"/>
      <c r="I31" s="87"/>
      <c r="J31" s="87"/>
      <c r="K31" s="87"/>
      <c r="L31" s="87"/>
    </row>
    <row r="32" spans="1:12" ht="15.75" x14ac:dyDescent="0.25">
      <c r="A32" s="87"/>
      <c r="B32" s="707" t="s">
        <v>189</v>
      </c>
      <c r="C32" s="707"/>
      <c r="D32" s="707"/>
      <c r="E32" s="328">
        <f>SUM(E23+E30)</f>
        <v>0</v>
      </c>
      <c r="F32" s="243"/>
      <c r="G32" s="243"/>
      <c r="H32" s="87"/>
      <c r="I32" s="87"/>
      <c r="J32" s="87"/>
      <c r="K32" s="87"/>
      <c r="L32" s="87"/>
    </row>
    <row r="33" spans="1:12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</row>
  </sheetData>
  <mergeCells count="14">
    <mergeCell ref="B31:D31"/>
    <mergeCell ref="B32:D32"/>
    <mergeCell ref="I15:L15"/>
    <mergeCell ref="I20:K20"/>
    <mergeCell ref="I21:K21"/>
    <mergeCell ref="I22:K22"/>
    <mergeCell ref="B25:E25"/>
    <mergeCell ref="B30:D30"/>
    <mergeCell ref="E11:F11"/>
    <mergeCell ref="A1:F2"/>
    <mergeCell ref="A3:F3"/>
    <mergeCell ref="A4:F4"/>
    <mergeCell ref="B6:E6"/>
    <mergeCell ref="E8:F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H36"/>
  <sheetViews>
    <sheetView workbookViewId="0">
      <selection activeCell="G20" sqref="G20"/>
    </sheetView>
  </sheetViews>
  <sheetFormatPr baseColWidth="10" defaultRowHeight="12.75" x14ac:dyDescent="0.2"/>
  <cols>
    <col min="1" max="1" width="14.7109375" bestFit="1" customWidth="1"/>
    <col min="2" max="2" width="13.7109375" bestFit="1" customWidth="1"/>
    <col min="3" max="3" width="13" customWidth="1"/>
    <col min="4" max="4" width="12.42578125" customWidth="1"/>
    <col min="5" max="5" width="16.85546875" customWidth="1"/>
    <col min="6" max="6" width="18.85546875" customWidth="1"/>
    <col min="7" max="7" width="18.140625" customWidth="1"/>
    <col min="8" max="8" width="18.140625" hidden="1" customWidth="1"/>
  </cols>
  <sheetData>
    <row r="1" spans="1:8" ht="18.75" x14ac:dyDescent="0.3">
      <c r="A1" s="717" t="s">
        <v>190</v>
      </c>
      <c r="B1" s="717"/>
      <c r="C1" s="717"/>
      <c r="D1" s="717"/>
      <c r="E1" s="717"/>
      <c r="F1" s="717"/>
      <c r="G1" s="717"/>
      <c r="H1" s="717"/>
    </row>
    <row r="2" spans="1:8" ht="18.75" x14ac:dyDescent="0.3">
      <c r="A2" s="718"/>
      <c r="B2" s="718"/>
      <c r="C2" s="718"/>
      <c r="D2" s="718"/>
      <c r="E2" s="718"/>
      <c r="F2" s="718"/>
      <c r="G2" s="718"/>
      <c r="H2" s="718"/>
    </row>
    <row r="3" spans="1:8" ht="18.75" x14ac:dyDescent="0.3">
      <c r="A3" s="719" t="s">
        <v>202</v>
      </c>
      <c r="B3" s="720"/>
      <c r="C3" s="720"/>
      <c r="D3" s="720"/>
      <c r="E3" s="720"/>
      <c r="F3" s="720"/>
      <c r="G3" s="720"/>
      <c r="H3" s="721"/>
    </row>
    <row r="4" spans="1:8" ht="18.75" x14ac:dyDescent="0.3">
      <c r="A4" s="337" t="s">
        <v>0</v>
      </c>
      <c r="B4" s="338" t="s">
        <v>170</v>
      </c>
      <c r="C4" s="339" t="s">
        <v>192</v>
      </c>
      <c r="D4" s="339" t="s">
        <v>193</v>
      </c>
      <c r="E4" s="338" t="s">
        <v>194</v>
      </c>
      <c r="F4" s="340" t="s">
        <v>10</v>
      </c>
      <c r="G4" s="341" t="s">
        <v>195</v>
      </c>
    </row>
    <row r="5" spans="1:8" ht="18.75" x14ac:dyDescent="0.3">
      <c r="A5" s="361"/>
      <c r="B5" s="342"/>
      <c r="C5" s="343"/>
      <c r="D5" s="343"/>
      <c r="E5" s="343"/>
      <c r="F5" s="346"/>
      <c r="G5" s="345"/>
    </row>
    <row r="6" spans="1:8" ht="18.75" x14ac:dyDescent="0.3">
      <c r="A6" s="361"/>
      <c r="B6" s="342"/>
      <c r="C6" s="343"/>
      <c r="D6" s="343"/>
      <c r="E6" s="343"/>
      <c r="F6" s="346"/>
      <c r="G6" s="345"/>
    </row>
    <row r="7" spans="1:8" ht="18.75" x14ac:dyDescent="0.3">
      <c r="A7" s="361"/>
      <c r="B7" s="342"/>
      <c r="C7" s="343"/>
      <c r="D7" s="343"/>
      <c r="E7" s="343"/>
      <c r="F7" s="346"/>
      <c r="G7" s="347"/>
    </row>
    <row r="8" spans="1:8" ht="18.75" x14ac:dyDescent="0.3">
      <c r="A8" s="361"/>
      <c r="B8" s="342"/>
      <c r="C8" s="343"/>
      <c r="D8" s="343"/>
      <c r="E8" s="343"/>
      <c r="F8" s="346"/>
      <c r="G8" s="347"/>
    </row>
    <row r="9" spans="1:8" ht="18.75" x14ac:dyDescent="0.3">
      <c r="A9" s="361"/>
      <c r="B9" s="342"/>
      <c r="C9" s="343"/>
      <c r="D9" s="343"/>
      <c r="E9" s="343"/>
      <c r="F9" s="346"/>
      <c r="G9" s="347"/>
    </row>
    <row r="10" spans="1:8" ht="18.75" x14ac:dyDescent="0.3">
      <c r="A10" s="361"/>
      <c r="B10" s="342"/>
      <c r="C10" s="350"/>
      <c r="D10" s="343"/>
      <c r="E10" s="343"/>
      <c r="F10" s="346"/>
      <c r="G10" s="347"/>
    </row>
    <row r="11" spans="1:8" ht="18.75" x14ac:dyDescent="0.3">
      <c r="A11" s="361"/>
      <c r="B11" s="342"/>
      <c r="C11" s="343"/>
      <c r="D11" s="343"/>
      <c r="E11" s="343"/>
      <c r="F11" s="346"/>
      <c r="G11" s="347"/>
    </row>
    <row r="12" spans="1:8" ht="18.75" x14ac:dyDescent="0.3">
      <c r="A12" s="361"/>
      <c r="B12" s="342"/>
      <c r="C12" s="343"/>
      <c r="D12" s="343"/>
      <c r="E12" s="343"/>
      <c r="F12" s="346"/>
      <c r="G12" s="347"/>
    </row>
    <row r="13" spans="1:8" ht="18.75" x14ac:dyDescent="0.3">
      <c r="A13" s="361"/>
      <c r="B13" s="342"/>
      <c r="C13" s="343"/>
      <c r="D13" s="343"/>
      <c r="E13" s="343"/>
      <c r="F13" s="346"/>
      <c r="G13" s="347"/>
    </row>
    <row r="14" spans="1:8" ht="18.75" x14ac:dyDescent="0.3">
      <c r="A14" s="361"/>
      <c r="B14" s="342"/>
      <c r="C14" s="343"/>
      <c r="D14" s="343"/>
      <c r="E14" s="343"/>
      <c r="F14" s="346"/>
      <c r="G14" s="347"/>
    </row>
    <row r="15" spans="1:8" ht="18.75" x14ac:dyDescent="0.3">
      <c r="A15" s="361"/>
      <c r="B15" s="342"/>
      <c r="C15" s="398"/>
      <c r="D15" s="398"/>
      <c r="E15" s="398"/>
      <c r="F15" s="346"/>
      <c r="G15" s="379"/>
    </row>
    <row r="16" spans="1:8" ht="18.75" x14ac:dyDescent="0.3">
      <c r="A16" s="361"/>
      <c r="B16" s="342"/>
      <c r="C16" s="398"/>
      <c r="D16" s="398"/>
      <c r="E16" s="398"/>
      <c r="F16" s="346"/>
      <c r="G16" s="379"/>
    </row>
    <row r="17" spans="1:7" ht="18.75" x14ac:dyDescent="0.3">
      <c r="A17" s="361"/>
      <c r="B17" s="342"/>
      <c r="C17" s="343"/>
      <c r="D17" s="343"/>
      <c r="E17" s="343"/>
      <c r="F17" s="346"/>
      <c r="G17" s="379"/>
    </row>
    <row r="18" spans="1:7" ht="18.75" x14ac:dyDescent="0.3">
      <c r="A18" s="361"/>
      <c r="B18" s="342"/>
      <c r="C18" s="343"/>
      <c r="D18" s="343"/>
      <c r="E18" s="343"/>
      <c r="F18" s="346"/>
      <c r="G18" s="347"/>
    </row>
    <row r="19" spans="1:7" ht="18.75" x14ac:dyDescent="0.3">
      <c r="A19" s="361"/>
      <c r="B19" s="342"/>
      <c r="C19" s="343"/>
      <c r="D19" s="343"/>
      <c r="E19" s="343"/>
      <c r="F19" s="344"/>
      <c r="G19" s="348"/>
    </row>
    <row r="20" spans="1:7" ht="18.75" x14ac:dyDescent="0.3">
      <c r="A20" s="361"/>
      <c r="B20" s="342"/>
      <c r="C20" s="541"/>
      <c r="D20" s="541"/>
      <c r="E20" s="541"/>
      <c r="F20" s="349"/>
      <c r="G20" s="348"/>
    </row>
    <row r="21" spans="1:7" ht="18.75" x14ac:dyDescent="0.3">
      <c r="A21" s="361"/>
      <c r="B21" s="342"/>
      <c r="C21" s="402"/>
      <c r="D21" s="343"/>
      <c r="E21" s="343"/>
      <c r="F21" s="344"/>
      <c r="G21" s="348"/>
    </row>
    <row r="22" spans="1:7" ht="18.75" x14ac:dyDescent="0.3">
      <c r="A22" s="361"/>
      <c r="B22" s="342"/>
      <c r="C22" s="343"/>
      <c r="D22" s="343"/>
      <c r="E22" s="343"/>
      <c r="F22" s="344"/>
      <c r="G22" s="348"/>
    </row>
    <row r="23" spans="1:7" ht="18.75" x14ac:dyDescent="0.3">
      <c r="A23" s="361"/>
      <c r="B23" s="342"/>
      <c r="C23" s="343"/>
      <c r="D23" s="343"/>
      <c r="E23" s="343"/>
      <c r="F23" s="344"/>
      <c r="G23" s="348"/>
    </row>
    <row r="24" spans="1:7" ht="18.75" x14ac:dyDescent="0.3">
      <c r="A24" s="361"/>
      <c r="B24" s="342"/>
      <c r="C24" s="343"/>
      <c r="D24" s="343"/>
      <c r="E24" s="343"/>
      <c r="F24" s="344"/>
      <c r="G24" s="348"/>
    </row>
    <row r="25" spans="1:7" ht="18.75" x14ac:dyDescent="0.3">
      <c r="A25" s="361"/>
      <c r="B25" s="342"/>
      <c r="C25" s="343"/>
      <c r="D25" s="343"/>
      <c r="E25" s="343"/>
      <c r="F25" s="344"/>
      <c r="G25" s="348"/>
    </row>
    <row r="26" spans="1:7" ht="18.75" x14ac:dyDescent="0.3">
      <c r="A26" s="361"/>
      <c r="B26" s="342"/>
      <c r="C26" s="350"/>
      <c r="D26" s="343"/>
      <c r="E26" s="343"/>
      <c r="F26" s="344"/>
      <c r="G26" s="348"/>
    </row>
    <row r="27" spans="1:7" ht="18.75" x14ac:dyDescent="0.3">
      <c r="A27" s="361"/>
      <c r="B27" s="342"/>
      <c r="C27" s="343"/>
      <c r="D27" s="343"/>
      <c r="E27" s="343"/>
      <c r="F27" s="344"/>
      <c r="G27" s="348"/>
    </row>
    <row r="28" spans="1:7" ht="18.75" x14ac:dyDescent="0.3">
      <c r="A28" s="361"/>
      <c r="B28" s="342"/>
      <c r="C28" s="350"/>
      <c r="D28" s="343"/>
      <c r="E28" s="343"/>
      <c r="F28" s="344"/>
      <c r="G28" s="348"/>
    </row>
    <row r="29" spans="1:7" ht="18.75" x14ac:dyDescent="0.3">
      <c r="A29" s="361"/>
      <c r="B29" s="342"/>
      <c r="C29" s="343"/>
      <c r="D29" s="343"/>
      <c r="E29" s="343"/>
      <c r="F29" s="344"/>
      <c r="G29" s="348"/>
    </row>
    <row r="30" spans="1:7" ht="18.75" x14ac:dyDescent="0.3">
      <c r="A30" s="361"/>
      <c r="B30" s="342"/>
      <c r="C30" s="343"/>
      <c r="D30" s="343"/>
      <c r="E30" s="343"/>
      <c r="F30" s="344"/>
      <c r="G30" s="348"/>
    </row>
    <row r="31" spans="1:7" ht="18.75" x14ac:dyDescent="0.3">
      <c r="A31" s="361"/>
      <c r="B31" s="342"/>
      <c r="C31" s="343"/>
      <c r="D31" s="343"/>
      <c r="E31" s="343"/>
      <c r="F31" s="344"/>
      <c r="G31" s="348"/>
    </row>
    <row r="32" spans="1:7" ht="18.75" x14ac:dyDescent="0.3">
      <c r="A32" s="361"/>
      <c r="B32" s="342"/>
      <c r="C32" s="343"/>
      <c r="D32" s="343"/>
      <c r="E32" s="343"/>
      <c r="F32" s="344"/>
      <c r="G32" s="348"/>
    </row>
    <row r="33" spans="1:7" ht="18.75" x14ac:dyDescent="0.3">
      <c r="A33" s="361"/>
      <c r="B33" s="342"/>
      <c r="C33" s="343"/>
      <c r="D33" s="343"/>
      <c r="E33" s="343"/>
      <c r="F33" s="344"/>
      <c r="G33" s="351"/>
    </row>
    <row r="34" spans="1:7" ht="18.75" x14ac:dyDescent="0.3">
      <c r="A34" s="361"/>
      <c r="B34" s="342"/>
      <c r="C34" s="345"/>
      <c r="D34" s="345"/>
      <c r="E34" s="343"/>
      <c r="F34" s="352"/>
      <c r="G34" s="353"/>
    </row>
    <row r="35" spans="1:7" ht="18.75" x14ac:dyDescent="0.3">
      <c r="A35" s="354"/>
      <c r="B35" s="354"/>
      <c r="C35" s="355"/>
      <c r="D35" s="355"/>
      <c r="E35" s="356"/>
      <c r="F35" s="357"/>
      <c r="G35" s="358"/>
    </row>
    <row r="36" spans="1:7" ht="18.75" x14ac:dyDescent="0.3">
      <c r="A36" s="722" t="s">
        <v>176</v>
      </c>
      <c r="B36" s="722"/>
      <c r="C36" s="723"/>
      <c r="D36" s="723"/>
      <c r="E36" s="359"/>
      <c r="F36" s="360">
        <f>SUM(F5:F35)</f>
        <v>0</v>
      </c>
      <c r="G36" s="43"/>
    </row>
  </sheetData>
  <mergeCells count="4">
    <mergeCell ref="A1:H1"/>
    <mergeCell ref="A2:H2"/>
    <mergeCell ref="A3:H3"/>
    <mergeCell ref="A36:D36"/>
  </mergeCells>
  <pageMargins left="0.7" right="0.7" top="0.75" bottom="0.75" header="0.3" footer="0.3"/>
  <pageSetup paperSize="12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21"/>
  <sheetViews>
    <sheetView workbookViewId="0">
      <selection activeCell="K24" sqref="K24"/>
    </sheetView>
  </sheetViews>
  <sheetFormatPr baseColWidth="10" defaultRowHeight="12.75" x14ac:dyDescent="0.2"/>
  <cols>
    <col min="6" max="6" width="13.5703125" customWidth="1"/>
    <col min="7" max="7" width="12.42578125" bestFit="1" customWidth="1"/>
    <col min="14" max="14" width="13.42578125" bestFit="1" customWidth="1"/>
  </cols>
  <sheetData>
    <row r="1" spans="1:2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ht="15" x14ac:dyDescent="0.25">
      <c r="A2" s="703" t="s">
        <v>159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87"/>
      <c r="P2" s="87"/>
      <c r="Q2" s="87"/>
      <c r="R2" s="87"/>
      <c r="S2" s="87"/>
      <c r="T2" s="87"/>
      <c r="U2" s="87"/>
    </row>
    <row r="3" spans="1:21" ht="15" x14ac:dyDescent="0.25">
      <c r="A3" s="703" t="s">
        <v>160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87"/>
      <c r="P3" s="87"/>
      <c r="Q3" s="87"/>
      <c r="R3" s="87"/>
      <c r="S3" s="87"/>
      <c r="T3" s="87"/>
      <c r="U3" s="87"/>
    </row>
    <row r="4" spans="1:21" ht="15" x14ac:dyDescent="0.25">
      <c r="A4" s="316"/>
      <c r="B4" s="316"/>
      <c r="C4" s="316"/>
      <c r="D4" s="316"/>
      <c r="E4" s="316"/>
      <c r="F4" s="703" t="s">
        <v>161</v>
      </c>
      <c r="G4" s="703"/>
      <c r="H4" s="703"/>
      <c r="I4" s="703"/>
      <c r="J4" s="316"/>
      <c r="K4" s="316"/>
      <c r="L4" s="316"/>
      <c r="M4" s="316"/>
      <c r="N4" s="316"/>
      <c r="O4" s="87"/>
      <c r="P4" s="87"/>
      <c r="Q4" s="87"/>
      <c r="R4" s="87"/>
      <c r="S4" s="87"/>
      <c r="T4" s="87"/>
      <c r="U4" s="87"/>
    </row>
    <row r="5" spans="1:21" ht="15" x14ac:dyDescent="0.25">
      <c r="A5" s="724" t="s">
        <v>196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87"/>
      <c r="P5" s="87"/>
      <c r="Q5" s="87"/>
      <c r="R5" s="87"/>
      <c r="S5" s="87"/>
      <c r="T5" s="87"/>
      <c r="U5" s="87"/>
    </row>
    <row r="6" spans="1:21" ht="15" x14ac:dyDescent="0.25">
      <c r="A6" s="362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87"/>
      <c r="P6" s="87"/>
      <c r="Q6" s="87"/>
      <c r="R6" s="87"/>
      <c r="S6" s="87"/>
      <c r="T6" s="87"/>
      <c r="U6" s="87"/>
    </row>
    <row r="7" spans="1:21" ht="15" x14ac:dyDescent="0.25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87"/>
      <c r="P7" s="87"/>
      <c r="Q7" s="87"/>
      <c r="R7" s="87"/>
      <c r="S7" s="87"/>
      <c r="T7" s="87"/>
      <c r="U7" s="87"/>
    </row>
    <row r="8" spans="1:21" ht="38.25" x14ac:dyDescent="0.2">
      <c r="A8" s="364" t="s">
        <v>197</v>
      </c>
      <c r="B8" s="365" t="s">
        <v>198</v>
      </c>
      <c r="C8" s="365" t="s">
        <v>199</v>
      </c>
      <c r="D8" s="365" t="s">
        <v>200</v>
      </c>
      <c r="E8" s="365" t="s">
        <v>191</v>
      </c>
      <c r="F8" s="365" t="s">
        <v>201</v>
      </c>
      <c r="G8" s="365" t="s">
        <v>202</v>
      </c>
      <c r="H8" s="365" t="s">
        <v>203</v>
      </c>
      <c r="I8" s="365" t="s">
        <v>204</v>
      </c>
      <c r="J8" s="365" t="s">
        <v>205</v>
      </c>
      <c r="K8" s="365" t="s">
        <v>206</v>
      </c>
      <c r="L8" s="365" t="s">
        <v>207</v>
      </c>
      <c r="M8" s="365" t="s">
        <v>208</v>
      </c>
      <c r="N8" s="366" t="s">
        <v>9</v>
      </c>
      <c r="O8" s="87"/>
      <c r="P8" s="87"/>
      <c r="Q8" s="87"/>
      <c r="R8" s="87"/>
      <c r="S8" s="87"/>
      <c r="T8" s="87"/>
      <c r="U8" s="87"/>
    </row>
    <row r="9" spans="1:21" x14ac:dyDescent="0.2">
      <c r="A9" s="261" t="s">
        <v>209</v>
      </c>
      <c r="B9" s="367">
        <v>6054000</v>
      </c>
      <c r="C9" s="367">
        <v>8521800</v>
      </c>
      <c r="D9" s="367">
        <v>7525800</v>
      </c>
      <c r="E9" s="368">
        <v>5236300</v>
      </c>
      <c r="F9" s="369">
        <v>9442100</v>
      </c>
      <c r="G9" s="553">
        <v>10065200</v>
      </c>
      <c r="H9" s="369">
        <v>0</v>
      </c>
      <c r="I9" s="369">
        <v>0</v>
      </c>
      <c r="J9" s="369">
        <v>0</v>
      </c>
      <c r="K9" s="369">
        <v>0</v>
      </c>
      <c r="L9" s="369">
        <v>0</v>
      </c>
      <c r="M9" s="369">
        <v>0</v>
      </c>
      <c r="N9" s="370">
        <f>SUM(B9:M9)</f>
        <v>46845200</v>
      </c>
      <c r="O9" s="87"/>
      <c r="P9" s="87"/>
      <c r="Q9" s="87"/>
      <c r="R9" s="87"/>
      <c r="S9" s="87"/>
      <c r="T9" s="87"/>
      <c r="U9" s="87"/>
    </row>
    <row r="10" spans="1:21" x14ac:dyDescent="0.2">
      <c r="A10" s="261" t="s">
        <v>2</v>
      </c>
      <c r="B10" s="369">
        <v>722100</v>
      </c>
      <c r="C10" s="367">
        <v>507500</v>
      </c>
      <c r="D10" s="367">
        <v>601700</v>
      </c>
      <c r="E10" s="368">
        <v>179600</v>
      </c>
      <c r="F10" s="369">
        <v>921600</v>
      </c>
      <c r="G10" s="367">
        <v>936700</v>
      </c>
      <c r="H10" s="369">
        <v>0</v>
      </c>
      <c r="I10" s="369">
        <v>0</v>
      </c>
      <c r="J10" s="369">
        <v>0</v>
      </c>
      <c r="K10" s="369">
        <v>0</v>
      </c>
      <c r="L10" s="369">
        <v>0</v>
      </c>
      <c r="M10" s="369">
        <v>0</v>
      </c>
      <c r="N10" s="370">
        <f>SUM(B10:M10)</f>
        <v>3869200</v>
      </c>
      <c r="O10" s="87"/>
      <c r="P10" s="87"/>
      <c r="Q10" s="87"/>
      <c r="R10" s="87"/>
      <c r="S10" s="87"/>
      <c r="T10" s="87"/>
      <c r="U10" s="87"/>
    </row>
    <row r="11" spans="1:21" x14ac:dyDescent="0.2">
      <c r="A11" s="261" t="s">
        <v>14</v>
      </c>
      <c r="B11" s="371">
        <v>251450</v>
      </c>
      <c r="C11" s="371">
        <v>215800</v>
      </c>
      <c r="D11" s="371">
        <v>300550</v>
      </c>
      <c r="E11" s="372">
        <v>620600</v>
      </c>
      <c r="F11" s="369">
        <v>260950</v>
      </c>
      <c r="G11" s="369">
        <v>283600</v>
      </c>
      <c r="H11" s="369">
        <v>0</v>
      </c>
      <c r="I11" s="369">
        <v>0</v>
      </c>
      <c r="J11" s="369">
        <v>0</v>
      </c>
      <c r="K11" s="369">
        <v>0</v>
      </c>
      <c r="L11" s="369">
        <v>0</v>
      </c>
      <c r="M11" s="369">
        <v>0</v>
      </c>
      <c r="N11" s="370">
        <f>SUM(B11:M11)</f>
        <v>1932950</v>
      </c>
      <c r="O11" s="87"/>
      <c r="P11" s="87"/>
      <c r="Q11" s="87"/>
      <c r="R11" s="87"/>
      <c r="S11" s="87"/>
      <c r="T11" s="87"/>
      <c r="U11" s="87"/>
    </row>
    <row r="12" spans="1:21" x14ac:dyDescent="0.2">
      <c r="A12" s="373" t="s">
        <v>9</v>
      </c>
      <c r="B12" s="374">
        <f>SUM(B9:B11)</f>
        <v>7027550</v>
      </c>
      <c r="C12" s="374">
        <f>SUM(C9:C11)</f>
        <v>9245100</v>
      </c>
      <c r="D12" s="374">
        <f t="shared" ref="D12:M12" si="0">SUM(D9:D11)</f>
        <v>8428050</v>
      </c>
      <c r="E12" s="374">
        <f t="shared" si="0"/>
        <v>6036500</v>
      </c>
      <c r="F12" s="374">
        <f t="shared" si="0"/>
        <v>10624650</v>
      </c>
      <c r="G12" s="374">
        <f t="shared" si="0"/>
        <v>11285500</v>
      </c>
      <c r="H12" s="374">
        <f t="shared" si="0"/>
        <v>0</v>
      </c>
      <c r="I12" s="374">
        <f t="shared" si="0"/>
        <v>0</v>
      </c>
      <c r="J12" s="374">
        <f t="shared" si="0"/>
        <v>0</v>
      </c>
      <c r="K12" s="374">
        <f t="shared" si="0"/>
        <v>0</v>
      </c>
      <c r="L12" s="374">
        <f t="shared" si="0"/>
        <v>0</v>
      </c>
      <c r="M12" s="374">
        <f t="shared" si="0"/>
        <v>0</v>
      </c>
      <c r="N12" s="374">
        <f>SUM(N9:N11)</f>
        <v>52647350</v>
      </c>
      <c r="O12" s="87"/>
      <c r="P12" s="87"/>
      <c r="Q12" s="87"/>
      <c r="R12" s="87"/>
      <c r="S12" s="87"/>
      <c r="T12" s="87"/>
      <c r="U12" s="87"/>
    </row>
    <row r="13" spans="1:21" x14ac:dyDescent="0.2">
      <c r="A13" s="375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87"/>
      <c r="P13" s="87"/>
      <c r="Q13" s="87"/>
      <c r="R13" s="87"/>
      <c r="S13" s="87"/>
      <c r="T13" s="87"/>
      <c r="U13" s="87"/>
    </row>
    <row r="14" spans="1:21" ht="38.25" x14ac:dyDescent="0.2">
      <c r="A14" s="364" t="s">
        <v>210</v>
      </c>
      <c r="B14" s="365" t="s">
        <v>198</v>
      </c>
      <c r="C14" s="365" t="s">
        <v>199</v>
      </c>
      <c r="D14" s="365" t="s">
        <v>200</v>
      </c>
      <c r="E14" s="365" t="s">
        <v>191</v>
      </c>
      <c r="F14" s="365" t="s">
        <v>201</v>
      </c>
      <c r="G14" s="365" t="s">
        <v>202</v>
      </c>
      <c r="H14" s="365" t="s">
        <v>203</v>
      </c>
      <c r="I14" s="365" t="s">
        <v>204</v>
      </c>
      <c r="J14" s="365" t="s">
        <v>205</v>
      </c>
      <c r="K14" s="365" t="s">
        <v>206</v>
      </c>
      <c r="L14" s="365" t="s">
        <v>207</v>
      </c>
      <c r="M14" s="365" t="s">
        <v>208</v>
      </c>
      <c r="N14" s="366" t="s">
        <v>9</v>
      </c>
      <c r="O14" s="87"/>
      <c r="P14" s="87"/>
      <c r="Q14" s="87"/>
      <c r="R14" s="87"/>
      <c r="S14" s="87"/>
      <c r="T14" s="87"/>
      <c r="U14" s="87"/>
    </row>
    <row r="15" spans="1:21" x14ac:dyDescent="0.2">
      <c r="A15" s="261" t="s">
        <v>209</v>
      </c>
      <c r="B15" s="367">
        <v>0</v>
      </c>
      <c r="C15" s="367">
        <v>0</v>
      </c>
      <c r="D15" s="367">
        <v>0</v>
      </c>
      <c r="E15" s="368">
        <v>251000</v>
      </c>
      <c r="F15" s="369">
        <v>419000</v>
      </c>
      <c r="G15" s="369">
        <v>335200</v>
      </c>
      <c r="H15" s="369">
        <v>0</v>
      </c>
      <c r="I15" s="369">
        <v>0</v>
      </c>
      <c r="J15" s="369">
        <v>0</v>
      </c>
      <c r="K15" s="369">
        <v>0</v>
      </c>
      <c r="L15" s="369">
        <v>0</v>
      </c>
      <c r="M15" s="369">
        <v>0</v>
      </c>
      <c r="N15" s="370">
        <f>SUM(B15:M15)</f>
        <v>1005200</v>
      </c>
      <c r="O15" s="87"/>
      <c r="P15" s="87"/>
      <c r="Q15" s="87"/>
      <c r="R15" s="87"/>
      <c r="S15" s="87"/>
      <c r="T15" s="87"/>
      <c r="U15" s="87"/>
    </row>
    <row r="16" spans="1:21" x14ac:dyDescent="0.2">
      <c r="A16" s="261" t="s">
        <v>2</v>
      </c>
      <c r="B16" s="369">
        <v>0</v>
      </c>
      <c r="C16" s="367">
        <v>0</v>
      </c>
      <c r="D16" s="367">
        <v>0</v>
      </c>
      <c r="E16" s="368">
        <v>0</v>
      </c>
      <c r="F16" s="369">
        <v>0</v>
      </c>
      <c r="G16" s="369">
        <v>0</v>
      </c>
      <c r="H16" s="369">
        <v>0</v>
      </c>
      <c r="I16" s="369">
        <v>0</v>
      </c>
      <c r="J16" s="369"/>
      <c r="K16" s="369"/>
      <c r="L16" s="369"/>
      <c r="M16" s="369">
        <v>0</v>
      </c>
      <c r="N16" s="370">
        <f>SUM(B16:M16)</f>
        <v>0</v>
      </c>
      <c r="O16" s="87"/>
      <c r="P16" s="87"/>
      <c r="Q16" s="87"/>
      <c r="R16" s="87"/>
      <c r="S16" s="87"/>
      <c r="T16" s="87"/>
      <c r="U16" s="87"/>
    </row>
    <row r="17" spans="1:21" x14ac:dyDescent="0.2">
      <c r="A17" s="261" t="s">
        <v>14</v>
      </c>
      <c r="B17" s="371">
        <v>0</v>
      </c>
      <c r="C17" s="371">
        <v>0</v>
      </c>
      <c r="D17" s="371">
        <v>0</v>
      </c>
      <c r="E17" s="372">
        <v>0</v>
      </c>
      <c r="F17" s="369">
        <v>0</v>
      </c>
      <c r="G17" s="369">
        <v>0</v>
      </c>
      <c r="H17" s="369">
        <v>0</v>
      </c>
      <c r="I17" s="369">
        <v>0</v>
      </c>
      <c r="J17" s="369">
        <v>0</v>
      </c>
      <c r="K17" s="369"/>
      <c r="L17" s="369"/>
      <c r="M17" s="369">
        <v>0</v>
      </c>
      <c r="N17" s="370">
        <f>SUM(B17:M17)</f>
        <v>0</v>
      </c>
      <c r="O17" s="87"/>
      <c r="P17" s="87"/>
      <c r="Q17" s="87"/>
      <c r="R17" s="87"/>
      <c r="S17" s="87"/>
      <c r="T17" s="87"/>
      <c r="U17" s="87"/>
    </row>
    <row r="18" spans="1:21" x14ac:dyDescent="0.2">
      <c r="A18" s="373" t="s">
        <v>9</v>
      </c>
      <c r="B18" s="374">
        <f>SUM(B15:B17)</f>
        <v>0</v>
      </c>
      <c r="C18" s="374">
        <f>SUM(C15:C17)</f>
        <v>0</v>
      </c>
      <c r="D18" s="374">
        <f t="shared" ref="D18:L18" si="1">SUM(D15:D17)</f>
        <v>0</v>
      </c>
      <c r="E18" s="374">
        <f t="shared" si="1"/>
        <v>251000</v>
      </c>
      <c r="F18" s="374">
        <f t="shared" si="1"/>
        <v>419000</v>
      </c>
      <c r="G18" s="374">
        <f t="shared" si="1"/>
        <v>335200</v>
      </c>
      <c r="H18" s="374">
        <f t="shared" si="1"/>
        <v>0</v>
      </c>
      <c r="I18" s="374">
        <f t="shared" si="1"/>
        <v>0</v>
      </c>
      <c r="J18" s="374">
        <f t="shared" si="1"/>
        <v>0</v>
      </c>
      <c r="K18" s="374">
        <f t="shared" si="1"/>
        <v>0</v>
      </c>
      <c r="L18" s="374">
        <f t="shared" si="1"/>
        <v>0</v>
      </c>
      <c r="M18" s="374">
        <f>SUM(M15:M17)</f>
        <v>0</v>
      </c>
      <c r="N18" s="374">
        <f>SUM(N15:N17)</f>
        <v>1005200</v>
      </c>
      <c r="O18" s="87"/>
      <c r="P18" s="87"/>
      <c r="Q18" s="87"/>
      <c r="R18" s="87"/>
      <c r="S18" s="87"/>
      <c r="T18" s="87"/>
      <c r="U18" s="87"/>
    </row>
    <row r="19" spans="1:21" ht="15.75" x14ac:dyDescent="0.25">
      <c r="A19" s="87"/>
      <c r="B19" s="87"/>
      <c r="C19" s="87"/>
      <c r="D19" s="317"/>
      <c r="E19" s="317"/>
      <c r="F19" s="336"/>
      <c r="G19" s="336"/>
      <c r="H19" s="336"/>
      <c r="I19" s="336"/>
      <c r="J19" s="336"/>
      <c r="K19" s="336"/>
      <c r="L19" s="87"/>
      <c r="M19" s="87"/>
      <c r="N19" s="374"/>
      <c r="O19" s="87"/>
      <c r="P19" s="87"/>
      <c r="Q19" s="87"/>
      <c r="R19" s="87"/>
      <c r="S19" s="87"/>
      <c r="T19" s="87"/>
      <c r="U19" s="87"/>
    </row>
    <row r="20" spans="1:21" x14ac:dyDescent="0.2">
      <c r="A20" s="373" t="s">
        <v>9</v>
      </c>
      <c r="B20" s="377">
        <f t="shared" ref="B20:F20" si="2">++B18+B12</f>
        <v>7027550</v>
      </c>
      <c r="C20" s="377">
        <f t="shared" si="2"/>
        <v>9245100</v>
      </c>
      <c r="D20" s="377">
        <f t="shared" si="2"/>
        <v>8428050</v>
      </c>
      <c r="E20" s="377">
        <f t="shared" si="2"/>
        <v>6287500</v>
      </c>
      <c r="F20" s="377">
        <f t="shared" si="2"/>
        <v>11043650</v>
      </c>
      <c r="G20" s="377">
        <f>++G18+G12</f>
        <v>11620700</v>
      </c>
      <c r="H20" s="377">
        <f t="shared" ref="H20:K20" si="3">++H18+H12</f>
        <v>0</v>
      </c>
      <c r="I20" s="377">
        <f t="shared" si="3"/>
        <v>0</v>
      </c>
      <c r="J20" s="377">
        <f t="shared" si="3"/>
        <v>0</v>
      </c>
      <c r="K20" s="377">
        <f t="shared" si="3"/>
        <v>0</v>
      </c>
      <c r="L20" s="374" t="s">
        <v>211</v>
      </c>
      <c r="M20" s="377"/>
      <c r="N20" s="374">
        <f>+N12+N18</f>
        <v>53652550</v>
      </c>
      <c r="O20" s="378"/>
      <c r="P20" s="87"/>
      <c r="Q20" s="87"/>
      <c r="R20" s="87"/>
      <c r="S20" s="87"/>
      <c r="T20" s="87"/>
      <c r="U20" s="87"/>
    </row>
    <row r="21" spans="1:21" x14ac:dyDescent="0.2">
      <c r="A21" s="375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87"/>
      <c r="P21" s="87"/>
      <c r="Q21" s="87"/>
      <c r="R21" s="87"/>
      <c r="S21" s="87"/>
      <c r="T21" s="87"/>
      <c r="U21" s="87"/>
    </row>
  </sheetData>
  <mergeCells count="4">
    <mergeCell ref="A2:N2"/>
    <mergeCell ref="A3:N3"/>
    <mergeCell ref="F4:I4"/>
    <mergeCell ref="A5:N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0000"/>
  </sheetPr>
  <dimension ref="A1:AW1462"/>
  <sheetViews>
    <sheetView topLeftCell="E1" zoomScaleNormal="100" workbookViewId="0">
      <selection activeCell="J1" sqref="J1:L3"/>
    </sheetView>
  </sheetViews>
  <sheetFormatPr baseColWidth="10" defaultRowHeight="12.75" x14ac:dyDescent="0.2"/>
  <cols>
    <col min="1" max="1" width="9.28515625" style="87" customWidth="1"/>
    <col min="2" max="2" width="11.28515625" style="50" customWidth="1"/>
    <col min="3" max="3" width="42.7109375" style="50" customWidth="1"/>
    <col min="4" max="4" width="13.42578125" style="51" customWidth="1"/>
    <col min="5" max="5" width="10" style="50" customWidth="1"/>
    <col min="6" max="6" width="8.28515625" style="26" customWidth="1"/>
    <col min="7" max="7" width="6.42578125" style="50" customWidth="1"/>
    <col min="8" max="8" width="8.5703125" style="88" customWidth="1"/>
    <col min="9" max="9" width="10.42578125" style="50" customWidth="1"/>
    <col min="10" max="10" width="38.85546875" style="26" customWidth="1"/>
    <col min="11" max="11" width="47.28515625" style="26" bestFit="1" customWidth="1"/>
    <col min="12" max="12" width="72.140625" style="26" customWidth="1"/>
    <col min="13" max="13" width="12" style="120" bestFit="1" customWidth="1"/>
    <col min="14" max="14" width="12.7109375" style="120" bestFit="1" customWidth="1"/>
    <col min="15" max="15" width="10.28515625" style="120" bestFit="1" customWidth="1"/>
    <col min="16" max="16" width="10" style="120" bestFit="1" customWidth="1"/>
    <col min="17" max="17" width="19.5703125" style="120" bestFit="1" customWidth="1"/>
    <col min="18" max="18" width="10" style="120" bestFit="1" customWidth="1"/>
    <col min="19" max="19" width="14" style="120" customWidth="1"/>
    <col min="20" max="20" width="6" style="120" bestFit="1" customWidth="1"/>
    <col min="21" max="21" width="9.42578125" style="120" bestFit="1" customWidth="1"/>
    <col min="22" max="22" width="7" style="120" bestFit="1" customWidth="1"/>
    <col min="23" max="23" width="8.85546875" style="120" customWidth="1"/>
    <col min="24" max="24" width="7.5703125" style="120" bestFit="1" customWidth="1"/>
    <col min="25" max="25" width="20" style="120" customWidth="1"/>
    <col min="26" max="26" width="10" style="120" bestFit="1" customWidth="1"/>
    <col min="27" max="27" width="6.5703125" style="43" bestFit="1" customWidth="1"/>
    <col min="28" max="28" width="8.5703125" style="120" bestFit="1" customWidth="1"/>
    <col min="29" max="29" width="22.42578125" style="120" bestFit="1" customWidth="1"/>
    <col min="30" max="30" width="12.42578125" style="120" bestFit="1" customWidth="1"/>
    <col min="31" max="31" width="7.5703125" style="120" bestFit="1" customWidth="1"/>
    <col min="32" max="32" width="10.5703125" style="120" bestFit="1" customWidth="1"/>
    <col min="33" max="33" width="12.42578125" style="120" bestFit="1" customWidth="1"/>
    <col min="34" max="34" width="12" style="120" bestFit="1" customWidth="1"/>
    <col min="35" max="35" width="16.85546875" style="120" customWidth="1"/>
    <col min="36" max="36" width="10.7109375" style="120" customWidth="1"/>
    <col min="37" max="37" width="6" style="120" bestFit="1" customWidth="1"/>
    <col min="38" max="38" width="20" style="120" customWidth="1"/>
    <col min="39" max="39" width="14.42578125" style="120" customWidth="1"/>
    <col min="40" max="41" width="8.5703125" style="120" bestFit="1" customWidth="1"/>
    <col min="42" max="42" width="15" style="120" customWidth="1"/>
    <col min="43" max="43" width="8.5703125" style="120" customWidth="1"/>
    <col min="44" max="44" width="7" style="120" bestFit="1" customWidth="1"/>
    <col min="45" max="45" width="8.5703125" style="120" bestFit="1" customWidth="1"/>
    <col min="46" max="46" width="6.5703125" style="120" bestFit="1" customWidth="1"/>
    <col min="47" max="48" width="10" style="120" bestFit="1" customWidth="1"/>
    <col min="49" max="16384" width="11.42578125" style="26"/>
  </cols>
  <sheetData>
    <row r="1" spans="1:48" s="8" customFormat="1" ht="13.5" customHeight="1" thickBot="1" x14ac:dyDescent="0.25">
      <c r="A1" s="687"/>
      <c r="B1" s="688"/>
      <c r="C1" s="688"/>
      <c r="D1" s="692" t="s">
        <v>237</v>
      </c>
      <c r="E1" s="692"/>
      <c r="F1" s="692"/>
      <c r="G1" s="692"/>
      <c r="H1" s="692"/>
      <c r="I1" s="692"/>
      <c r="J1" s="639" t="s">
        <v>239</v>
      </c>
      <c r="K1" s="640" t="s">
        <v>242</v>
      </c>
      <c r="L1" s="644" t="s">
        <v>235</v>
      </c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43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</row>
    <row r="2" spans="1:48" ht="13.5" customHeight="1" thickBot="1" x14ac:dyDescent="0.25">
      <c r="A2" s="689"/>
      <c r="B2" s="663"/>
      <c r="C2" s="663"/>
      <c r="D2" s="662"/>
      <c r="E2" s="662"/>
      <c r="F2" s="662"/>
      <c r="G2" s="662"/>
      <c r="H2" s="662"/>
      <c r="I2" s="662"/>
      <c r="J2" s="638" t="s">
        <v>240</v>
      </c>
      <c r="K2" s="641">
        <v>1</v>
      </c>
      <c r="L2" s="644"/>
      <c r="M2" s="659" t="s">
        <v>26</v>
      </c>
      <c r="N2" s="660"/>
      <c r="O2" s="660"/>
      <c r="P2" s="660"/>
      <c r="Q2" s="660"/>
      <c r="R2" s="661"/>
      <c r="S2" s="684" t="s">
        <v>29</v>
      </c>
      <c r="T2" s="685"/>
      <c r="U2" s="685"/>
      <c r="V2" s="685"/>
      <c r="W2" s="685"/>
      <c r="X2" s="685"/>
      <c r="Y2" s="685"/>
      <c r="Z2" s="686"/>
      <c r="AA2" s="669" t="s">
        <v>13</v>
      </c>
      <c r="AB2" s="670"/>
      <c r="AC2" s="670"/>
      <c r="AD2" s="670"/>
      <c r="AE2" s="670"/>
      <c r="AF2" s="670"/>
      <c r="AG2" s="671"/>
      <c r="AH2" s="659" t="s">
        <v>24</v>
      </c>
      <c r="AI2" s="660"/>
      <c r="AJ2" s="660"/>
      <c r="AK2" s="660"/>
      <c r="AL2" s="660"/>
      <c r="AM2" s="660"/>
      <c r="AN2" s="660"/>
      <c r="AO2" s="661"/>
      <c r="AP2" s="659" t="s">
        <v>42</v>
      </c>
      <c r="AQ2" s="660"/>
      <c r="AR2" s="660"/>
      <c r="AS2" s="660"/>
      <c r="AT2" s="660"/>
      <c r="AU2" s="660"/>
      <c r="AV2" s="661"/>
    </row>
    <row r="3" spans="1:48" s="1" customFormat="1" ht="18.75" customHeight="1" thickBot="1" x14ac:dyDescent="0.25">
      <c r="A3" s="690"/>
      <c r="B3" s="691"/>
      <c r="C3" s="691"/>
      <c r="D3" s="693"/>
      <c r="E3" s="693"/>
      <c r="F3" s="693"/>
      <c r="G3" s="693"/>
      <c r="H3" s="693"/>
      <c r="I3" s="693"/>
      <c r="J3" s="642" t="s">
        <v>241</v>
      </c>
      <c r="K3" s="643"/>
      <c r="L3" s="644"/>
      <c r="M3" s="124"/>
      <c r="N3" s="207" t="s">
        <v>56</v>
      </c>
      <c r="O3" s="207">
        <v>8700</v>
      </c>
      <c r="P3" s="207"/>
      <c r="Q3" s="207"/>
      <c r="R3" s="125"/>
      <c r="S3" s="134" t="s">
        <v>57</v>
      </c>
      <c r="T3" s="131">
        <v>8700</v>
      </c>
      <c r="U3" s="131"/>
      <c r="V3" s="131">
        <v>4300</v>
      </c>
      <c r="W3" s="131"/>
      <c r="X3" s="131"/>
      <c r="Y3" s="131"/>
      <c r="Z3" s="123"/>
      <c r="AA3" s="145"/>
      <c r="AB3" s="154" t="s">
        <v>59</v>
      </c>
      <c r="AC3" s="154">
        <v>7700</v>
      </c>
      <c r="AD3" s="154"/>
      <c r="AE3" s="154"/>
      <c r="AF3" s="156"/>
      <c r="AG3" s="125"/>
      <c r="AH3" s="124"/>
      <c r="AI3" s="156">
        <v>8700</v>
      </c>
      <c r="AJ3" s="156"/>
      <c r="AK3" s="156">
        <v>5200</v>
      </c>
      <c r="AL3" s="162"/>
      <c r="AM3" s="156">
        <v>5200</v>
      </c>
      <c r="AN3" s="156"/>
      <c r="AO3" s="125"/>
      <c r="AQ3" s="156" t="s">
        <v>60</v>
      </c>
      <c r="AR3" s="156">
        <v>6900</v>
      </c>
      <c r="AS3" s="156"/>
      <c r="AT3" s="156"/>
      <c r="AU3" s="171"/>
      <c r="AV3" s="125"/>
    </row>
    <row r="4" spans="1:48" s="1" customFormat="1" ht="12.75" customHeight="1" x14ac:dyDescent="0.2">
      <c r="B4" s="4"/>
      <c r="C4" s="4"/>
      <c r="D4" s="13"/>
      <c r="E4" s="4"/>
      <c r="F4" s="4"/>
      <c r="G4" s="4"/>
      <c r="H4" s="4"/>
      <c r="I4" s="4"/>
      <c r="J4" s="4"/>
      <c r="M4" s="126" t="s">
        <v>22</v>
      </c>
      <c r="N4" s="127"/>
      <c r="O4" s="127"/>
      <c r="P4" s="127"/>
      <c r="Q4" s="127"/>
      <c r="R4" s="128"/>
      <c r="S4" s="135" t="s">
        <v>22</v>
      </c>
      <c r="T4" s="658" t="s">
        <v>16</v>
      </c>
      <c r="U4" s="658"/>
      <c r="V4" s="658" t="s">
        <v>58</v>
      </c>
      <c r="W4" s="658"/>
      <c r="X4" s="658"/>
      <c r="Y4" s="658"/>
      <c r="Z4" s="125"/>
      <c r="AA4" s="145" t="s">
        <v>5</v>
      </c>
      <c r="AB4" s="146"/>
      <c r="AC4" s="146"/>
      <c r="AD4" s="147"/>
      <c r="AE4" s="63"/>
      <c r="AF4" s="63"/>
      <c r="AG4" s="148"/>
      <c r="AH4" s="135" t="s">
        <v>22</v>
      </c>
      <c r="AI4" s="658" t="s">
        <v>16</v>
      </c>
      <c r="AJ4" s="658"/>
      <c r="AK4" s="63" t="s">
        <v>39</v>
      </c>
      <c r="AL4" s="63"/>
      <c r="AM4" s="147" t="s">
        <v>40</v>
      </c>
      <c r="AN4" s="147"/>
      <c r="AO4" s="148" t="s">
        <v>28</v>
      </c>
      <c r="AP4" s="126" t="s">
        <v>22</v>
      </c>
      <c r="AR4" s="127"/>
      <c r="AS4" s="127"/>
      <c r="AT4" s="127"/>
      <c r="AU4" s="171"/>
      <c r="AV4" s="148"/>
    </row>
    <row r="5" spans="1:48" s="1" customFormat="1" x14ac:dyDescent="0.2">
      <c r="A5" s="561"/>
      <c r="B5" s="562" t="s">
        <v>0</v>
      </c>
      <c r="C5" s="562" t="s">
        <v>1</v>
      </c>
      <c r="D5" s="562" t="s">
        <v>3</v>
      </c>
      <c r="E5" s="562" t="s">
        <v>4</v>
      </c>
      <c r="F5" s="562" t="s">
        <v>7</v>
      </c>
      <c r="G5" s="562" t="s">
        <v>5</v>
      </c>
      <c r="H5" s="562" t="s">
        <v>11</v>
      </c>
      <c r="I5" s="562" t="s">
        <v>6</v>
      </c>
      <c r="J5" s="562" t="s">
        <v>54</v>
      </c>
      <c r="K5" s="562" t="s">
        <v>55</v>
      </c>
      <c r="L5" s="562" t="s">
        <v>53</v>
      </c>
      <c r="M5" s="555">
        <v>0.5</v>
      </c>
      <c r="N5" s="207"/>
      <c r="O5" s="207">
        <f>+COUNTIFS($J:$J,"UCM",$G:$G,"0,5")</f>
        <v>0</v>
      </c>
      <c r="P5" s="138">
        <f>+O5*$O$3*M5</f>
        <v>0</v>
      </c>
      <c r="Q5" s="207"/>
      <c r="R5" s="139">
        <f t="shared" ref="R5:R12" si="0">+Q5*$Q$3*M5</f>
        <v>0</v>
      </c>
      <c r="S5" s="124">
        <v>0.5</v>
      </c>
      <c r="T5" s="156">
        <f>+COUNTIFS($J:$J,"ESTUDIANTE_UCM",$G:$G,"0,5",$I:$I,"MAÑANA")</f>
        <v>0</v>
      </c>
      <c r="U5" s="138">
        <f>+T5*$T$3*S5</f>
        <v>0</v>
      </c>
      <c r="V5" s="156">
        <f>+COUNTIFS($J:$J,"ESTUDIANTE_UCM",$G:$G,"0,5",$I:$I,"TARDE")</f>
        <v>0</v>
      </c>
      <c r="W5" s="138">
        <f>+(X5+V5)*S5*$V$3</f>
        <v>0</v>
      </c>
      <c r="X5" s="156">
        <f>+COUNTIFS($J:$J,"ESTUDIANTE_UCM",$G:$G,"0,5",$I:$I,"NOCHE")</f>
        <v>0</v>
      </c>
      <c r="Y5" s="138"/>
      <c r="Z5" s="125"/>
      <c r="AA5" s="124">
        <v>0.5</v>
      </c>
      <c r="AB5" s="156">
        <f>+COUNTIFS($J:$J,"EGRESADO_UCM",$G:$G,"0,5")</f>
        <v>0</v>
      </c>
      <c r="AC5" s="156"/>
      <c r="AD5" s="138">
        <f>+AB5*$AC$3*AA5</f>
        <v>0</v>
      </c>
      <c r="AE5" s="156"/>
      <c r="AF5" s="138"/>
      <c r="AG5" s="155"/>
      <c r="AH5" s="124">
        <v>0.5</v>
      </c>
      <c r="AI5" s="156">
        <f>+COUNTIFS($J:$J,"COLABORADOR",$G:$G,"0,5",$I:$I,"MAÑANA")</f>
        <v>0</v>
      </c>
      <c r="AJ5" s="138">
        <f>+AI5*$AI$3*AH5</f>
        <v>0</v>
      </c>
      <c r="AK5" s="156">
        <f>+COUNTIFS($J:$J,"COLABORADOR",$G:$G,"0,5",$I:$I,"tarde")</f>
        <v>0</v>
      </c>
      <c r="AL5" s="154">
        <f>+$AK$3*AK5*AH5</f>
        <v>0</v>
      </c>
      <c r="AM5" s="156">
        <f>+COUNTIFS($J:$J,"COLABORADOR",$G:$G,"0,5",$I:$I,"noche")</f>
        <v>0</v>
      </c>
      <c r="AN5" s="154">
        <f>+$AM$3*AM5*AH5</f>
        <v>0</v>
      </c>
      <c r="AO5" s="139">
        <f>+AN5+AL5</f>
        <v>0</v>
      </c>
      <c r="AP5" s="124">
        <v>0.5</v>
      </c>
      <c r="AR5" s="156">
        <f>+COUNTIFS($J:$J,"ESTUDIANTE_EXTERNO",$G:$G,"0,5")</f>
        <v>0</v>
      </c>
      <c r="AS5" s="138">
        <f t="shared" ref="AS5:AS12" si="1">+AR5*AP5*$AR$3</f>
        <v>0</v>
      </c>
      <c r="AT5" s="156"/>
      <c r="AU5" s="173"/>
      <c r="AV5" s="151"/>
    </row>
    <row r="6" spans="1:48" x14ac:dyDescent="0.2">
      <c r="A6" s="246"/>
      <c r="B6" s="309"/>
      <c r="C6" s="309"/>
      <c r="D6" s="563"/>
      <c r="E6" s="564"/>
      <c r="F6" s="246"/>
      <c r="G6" s="564"/>
      <c r="H6" s="564"/>
      <c r="I6" s="309"/>
      <c r="J6" s="246"/>
      <c r="K6" s="563"/>
      <c r="L6" s="309"/>
      <c r="M6" s="555">
        <v>1</v>
      </c>
      <c r="N6" s="207"/>
      <c r="O6" s="207">
        <f>+COUNTIFS($J:$J,"UCM",$G:$G,"1")</f>
        <v>0</v>
      </c>
      <c r="P6" s="138">
        <f>+O6*$O$3*M6</f>
        <v>0</v>
      </c>
      <c r="Q6" s="207"/>
      <c r="R6" s="139">
        <f t="shared" si="0"/>
        <v>0</v>
      </c>
      <c r="S6" s="124">
        <v>1</v>
      </c>
      <c r="T6" s="156">
        <f>+COUNTIFS($J:$J,"ESTUDIANTE_UCM",$G:$G,"1",$I:$I,"MAÑANA")</f>
        <v>0</v>
      </c>
      <c r="U6" s="138">
        <f>+T6*$T$3*S6</f>
        <v>0</v>
      </c>
      <c r="V6" s="156">
        <f>+COUNTIFS($J:$J,"ESTUDIANTE_UCM",$G:$G,"1",$I:$I,"TARDE")</f>
        <v>0</v>
      </c>
      <c r="W6" s="138">
        <f>+(X6+V6)*S6*$V$3</f>
        <v>0</v>
      </c>
      <c r="X6" s="156">
        <f>+COUNTIFS($J:$J,"ESTUDIANTE_UCM",$G:$G,"1",$I:$I,"NOCHE")</f>
        <v>0</v>
      </c>
      <c r="Y6" s="138"/>
      <c r="Z6" s="125"/>
      <c r="AA6" s="124">
        <v>1</v>
      </c>
      <c r="AB6" s="156">
        <f>+COUNTIFS($J:$J,"EGRESADO_UCM",$G:$G,"1")</f>
        <v>0</v>
      </c>
      <c r="AC6" s="156"/>
      <c r="AD6" s="138">
        <f t="shared" ref="AD6:AD12" si="2">+AB6*$AC$3*AA6</f>
        <v>0</v>
      </c>
      <c r="AE6" s="156"/>
      <c r="AF6" s="138"/>
      <c r="AG6" s="155"/>
      <c r="AH6" s="124">
        <v>1</v>
      </c>
      <c r="AI6" s="156">
        <f>+COUNTIFS($J:$J,"COLABORADOR",$G:$G,"1",$I:$I,"MAÑANA")</f>
        <v>0</v>
      </c>
      <c r="AJ6" s="138">
        <f t="shared" ref="AJ6:AJ12" si="3">+AI6*$AI$3*AH6</f>
        <v>0</v>
      </c>
      <c r="AK6" s="156">
        <f>+COUNTIFS($J:$J,"COLABORADOR",$G:$G,"1",$I:$I,"tarde")</f>
        <v>0</v>
      </c>
      <c r="AL6" s="154">
        <f t="shared" ref="AL6:AL12" si="4">+$AK$3*AK6*AH6</f>
        <v>0</v>
      </c>
      <c r="AM6" s="156">
        <f>+COUNTIFS($J:$J,"COLABORADOR",$G:$G,"1",$I:$I,"noche")</f>
        <v>0</v>
      </c>
      <c r="AN6" s="154">
        <f t="shared" ref="AN6:AN12" si="5">+$AM$3*AM6*AH6</f>
        <v>0</v>
      </c>
      <c r="AO6" s="139">
        <f>+AN6+AL6</f>
        <v>0</v>
      </c>
      <c r="AP6" s="124">
        <v>1</v>
      </c>
      <c r="AQ6" s="26"/>
      <c r="AR6" s="156">
        <f>+COUNTIFS($J:$J,"ESTUDIANTE_EXTERNO",$G:$G,"1")</f>
        <v>0</v>
      </c>
      <c r="AS6" s="138">
        <f t="shared" si="1"/>
        <v>0</v>
      </c>
      <c r="AT6" s="156"/>
      <c r="AU6" s="173"/>
      <c r="AV6" s="151"/>
    </row>
    <row r="7" spans="1:48" s="200" customFormat="1" x14ac:dyDescent="0.2">
      <c r="A7" s="565"/>
      <c r="B7" s="563"/>
      <c r="C7" s="563"/>
      <c r="D7" s="563"/>
      <c r="E7" s="563"/>
      <c r="F7" s="563"/>
      <c r="G7" s="309"/>
      <c r="H7" s="563"/>
      <c r="I7" s="563"/>
      <c r="J7" s="563"/>
      <c r="K7" s="563"/>
      <c r="L7" s="563"/>
      <c r="M7" s="555">
        <v>1.5</v>
      </c>
      <c r="N7" s="207"/>
      <c r="O7" s="207">
        <f>+COUNTIFS($J:$J,"UCM",$G:$G,"1,5")</f>
        <v>0</v>
      </c>
      <c r="P7" s="138">
        <f>+O7*$O$3*M7</f>
        <v>0</v>
      </c>
      <c r="Q7" s="207"/>
      <c r="R7" s="139">
        <f t="shared" si="0"/>
        <v>0</v>
      </c>
      <c r="S7" s="124">
        <v>1.5</v>
      </c>
      <c r="T7" s="156">
        <f>+COUNTIFS($J:$J,"ESTUDIANTE_UCM",$G:$G,"1,5",$I:$I,"MAÑANA")</f>
        <v>0</v>
      </c>
      <c r="U7" s="138">
        <f>+T7*$T$3*S7</f>
        <v>0</v>
      </c>
      <c r="V7" s="156">
        <f>+COUNTIFS($J:$J,"ESTUDIANTE_UCM",$G:$G,"1,5",$I:$I,"TARDE")</f>
        <v>0</v>
      </c>
      <c r="W7" s="138">
        <f t="shared" ref="W7:W12" si="6">+(X7+V7)*S7*$V$3</f>
        <v>0</v>
      </c>
      <c r="X7" s="156">
        <f>+COUNTIFS($J:$J,"ESTUDIANTE_UCM",$G:$G,"1,5",$I:$I,"NOCHE")</f>
        <v>0</v>
      </c>
      <c r="Y7" s="138"/>
      <c r="Z7" s="125"/>
      <c r="AA7" s="124">
        <v>1.5</v>
      </c>
      <c r="AB7" s="156">
        <f>+COUNTIFS($J:$J,"EGRESADO_UCM",$G:$G,"1,5")</f>
        <v>0</v>
      </c>
      <c r="AC7" s="156"/>
      <c r="AD7" s="138">
        <f t="shared" si="2"/>
        <v>0</v>
      </c>
      <c r="AE7" s="156"/>
      <c r="AF7" s="138"/>
      <c r="AG7" s="155"/>
      <c r="AH7" s="124">
        <v>1.5</v>
      </c>
      <c r="AI7" s="156">
        <f>+COUNTIFS($J:$J,"COLABORADOR",$G:$G,"1,5",$I:$I,"MAÑANA")</f>
        <v>0</v>
      </c>
      <c r="AJ7" s="138">
        <f t="shared" si="3"/>
        <v>0</v>
      </c>
      <c r="AK7" s="156">
        <f>+COUNTIFS($J:$J,"COLABORADOR",$G:$G,"1,5",$I:$I,"tarde")</f>
        <v>0</v>
      </c>
      <c r="AL7" s="154">
        <f t="shared" si="4"/>
        <v>0</v>
      </c>
      <c r="AM7" s="156">
        <f>+COUNTIFS($J:$J,"COLABORADOR",$G:$G,"1,5",$I:$I,"noche")</f>
        <v>0</v>
      </c>
      <c r="AN7" s="154">
        <f t="shared" si="5"/>
        <v>0</v>
      </c>
      <c r="AO7" s="139">
        <f t="shared" ref="AO7:AO12" si="7">+AN7+AL7</f>
        <v>0</v>
      </c>
      <c r="AP7" s="124">
        <v>1.5</v>
      </c>
      <c r="AQ7" s="124"/>
      <c r="AR7" s="156">
        <f>+COUNTIFS($J:$J,"ESTUDIANTE_EXTERNO",$G:$G,"1,5")</f>
        <v>0</v>
      </c>
      <c r="AS7" s="138">
        <f t="shared" si="1"/>
        <v>0</v>
      </c>
      <c r="AT7" s="156"/>
      <c r="AU7" s="173"/>
      <c r="AV7" s="151"/>
    </row>
    <row r="8" spans="1:48" s="200" customFormat="1" ht="15.75" x14ac:dyDescent="0.25">
      <c r="A8" s="565" t="str">
        <f>+TEXT(B8,"dddd")</f>
        <v>sábado</v>
      </c>
      <c r="B8" s="566"/>
      <c r="C8" s="567"/>
      <c r="D8" s="568"/>
      <c r="E8" s="569"/>
      <c r="F8" s="568"/>
      <c r="G8" s="570"/>
      <c r="H8" s="569"/>
      <c r="I8" s="568"/>
      <c r="J8" s="571"/>
      <c r="K8" s="572"/>
      <c r="L8" s="572"/>
      <c r="M8" s="177">
        <v>2</v>
      </c>
      <c r="N8" s="177"/>
      <c r="O8" s="177">
        <f>+COUNTIFS($J:$J,"UCM",$G:$G,"2")</f>
        <v>0</v>
      </c>
      <c r="P8" s="138">
        <f t="shared" ref="P8:P12" si="8">+O8*$O$3*M8</f>
        <v>0</v>
      </c>
      <c r="Q8" s="138"/>
      <c r="R8" s="139">
        <f t="shared" si="0"/>
        <v>0</v>
      </c>
      <c r="S8" s="124">
        <v>2</v>
      </c>
      <c r="T8" s="156">
        <f>+COUNTIFS($J:$J,"ESTUDIANTE_UCM",$G:$G,"2",$I:$I,"MAÑANA")</f>
        <v>0</v>
      </c>
      <c r="U8" s="138">
        <f t="shared" ref="U8:U12" si="9">+T8*$T$3*S8</f>
        <v>0</v>
      </c>
      <c r="V8" s="156">
        <f>+COUNTIFS($J:$J,"ESTUDIANTE_UCM",$G:$G,"2",$I:$I,"TARDE")</f>
        <v>0</v>
      </c>
      <c r="W8" s="138">
        <f t="shared" si="6"/>
        <v>0</v>
      </c>
      <c r="X8" s="156">
        <f>+COUNTIFS($J:$J,"ESTUDIANTE_UCM",$G:$G,"2",$I:$I,"NOCHE")</f>
        <v>0</v>
      </c>
      <c r="Y8" s="138"/>
      <c r="Z8" s="125"/>
      <c r="AA8" s="124">
        <v>2</v>
      </c>
      <c r="AB8" s="156">
        <f>+COUNTIFS($J:$J,"EGRESADO_UCM",$G:$G,"2")</f>
        <v>0</v>
      </c>
      <c r="AC8" s="156"/>
      <c r="AD8" s="138">
        <f t="shared" si="2"/>
        <v>0</v>
      </c>
      <c r="AE8" s="156"/>
      <c r="AF8" s="138"/>
      <c r="AG8" s="155"/>
      <c r="AH8" s="124">
        <v>2</v>
      </c>
      <c r="AI8" s="156">
        <f>+COUNTIFS($J:$J,"COLABORADOR",$G:$G,"2",$I:$I,"MAÑANA")</f>
        <v>0</v>
      </c>
      <c r="AJ8" s="138">
        <f t="shared" si="3"/>
        <v>0</v>
      </c>
      <c r="AK8" s="156">
        <f>+COUNTIFS($J:$J,"COLABORADOR",$G:$G,"2",$I:$I,"tarde")</f>
        <v>0</v>
      </c>
      <c r="AL8" s="154">
        <f t="shared" si="4"/>
        <v>0</v>
      </c>
      <c r="AM8" s="156">
        <f>+COUNTIFS($J:$J,"COLABORADOR",$G:$G,"2",$I:$I,"noche")</f>
        <v>0</v>
      </c>
      <c r="AN8" s="154">
        <f t="shared" si="5"/>
        <v>0</v>
      </c>
      <c r="AO8" s="139">
        <f>+AN8+AL8</f>
        <v>0</v>
      </c>
      <c r="AP8" s="124">
        <v>2</v>
      </c>
      <c r="AQ8" s="124"/>
      <c r="AR8" s="156">
        <f>+COUNTIFS($J:$J,"ESTUDIANTE_EXTERNO",$G:$G,"2")</f>
        <v>0</v>
      </c>
      <c r="AS8" s="138">
        <f t="shared" si="1"/>
        <v>0</v>
      </c>
      <c r="AT8" s="156"/>
      <c r="AU8" s="173"/>
      <c r="AV8" s="151"/>
    </row>
    <row r="9" spans="1:48" ht="15.75" x14ac:dyDescent="0.25">
      <c r="A9" s="565" t="str">
        <f t="shared" ref="A9:A55" si="10">+TEXT(B9,"dddd")</f>
        <v>sábado</v>
      </c>
      <c r="B9" s="566"/>
      <c r="C9" s="567"/>
      <c r="D9" s="568"/>
      <c r="E9" s="569"/>
      <c r="F9" s="568"/>
      <c r="G9" s="570"/>
      <c r="H9" s="569"/>
      <c r="I9" s="568"/>
      <c r="J9" s="567"/>
      <c r="K9" s="573"/>
      <c r="L9" s="572"/>
      <c r="M9" s="555">
        <v>2.5</v>
      </c>
      <c r="N9" s="207"/>
      <c r="O9" s="207">
        <f>+COUNTIFS($J:$J,"UCM",$G:$G,"2,5")</f>
        <v>0</v>
      </c>
      <c r="P9" s="138">
        <f t="shared" si="8"/>
        <v>0</v>
      </c>
      <c r="Q9" s="207"/>
      <c r="R9" s="139">
        <f t="shared" si="0"/>
        <v>0</v>
      </c>
      <c r="S9" s="124">
        <v>2.5</v>
      </c>
      <c r="T9" s="156">
        <f>+COUNTIFS($J:$J,"ESTUDIANTE_UCM",$G:$G,"2,5",$I:$I,"MAÑANA")</f>
        <v>0</v>
      </c>
      <c r="U9" s="138">
        <f t="shared" si="9"/>
        <v>0</v>
      </c>
      <c r="V9" s="156">
        <f>+COUNTIFS($J:$J,"ESTUDIANTE_UCM",$G:$G,"2,5",$I:$I,"TARDE")</f>
        <v>0</v>
      </c>
      <c r="W9" s="138">
        <f t="shared" si="6"/>
        <v>0</v>
      </c>
      <c r="X9" s="156">
        <f>+COUNTIFS($J:$J,"ESTUDIANTE_UCM",$G:$G,"2,5",$I:$I,"NOCHE")</f>
        <v>0</v>
      </c>
      <c r="Y9" s="138"/>
      <c r="Z9" s="125"/>
      <c r="AA9" s="124">
        <v>2.5</v>
      </c>
      <c r="AB9" s="156">
        <f>+COUNTIFS($J:$J,"EGRESADO_UCM",$G:$G,"2,5")</f>
        <v>0</v>
      </c>
      <c r="AC9" s="156"/>
      <c r="AD9" s="138">
        <f t="shared" si="2"/>
        <v>0</v>
      </c>
      <c r="AE9" s="156"/>
      <c r="AF9" s="138"/>
      <c r="AG9" s="155"/>
      <c r="AH9" s="124">
        <v>2.5</v>
      </c>
      <c r="AI9" s="156">
        <f>+COUNTIFS($J:$J,"COLABORADOR",$G:$G,"2,5",$I:$I,"MAÑANA")</f>
        <v>0</v>
      </c>
      <c r="AJ9" s="138">
        <f t="shared" si="3"/>
        <v>0</v>
      </c>
      <c r="AK9" s="156">
        <f>+COUNTIFS($J:$J,"COLABORADOR",$G:$G,"2,5",$I:$I,"tarde")</f>
        <v>0</v>
      </c>
      <c r="AL9" s="154">
        <f t="shared" si="4"/>
        <v>0</v>
      </c>
      <c r="AM9" s="156">
        <f>+COUNTIFS($J:$J,"COLABORADOR",$G:$G,"2,5",$I:$I,"noche")</f>
        <v>0</v>
      </c>
      <c r="AN9" s="154">
        <f t="shared" si="5"/>
        <v>0</v>
      </c>
      <c r="AO9" s="139">
        <f t="shared" si="7"/>
        <v>0</v>
      </c>
      <c r="AP9" s="124">
        <v>2.5</v>
      </c>
      <c r="AQ9" s="124"/>
      <c r="AR9" s="156">
        <f>+COUNTIFS($J:$J,"ESTUDIANTE_EXTERNO",$G:$G,"2,5")</f>
        <v>0</v>
      </c>
      <c r="AS9" s="138">
        <f t="shared" si="1"/>
        <v>0</v>
      </c>
      <c r="AT9" s="156"/>
      <c r="AU9" s="173"/>
      <c r="AV9" s="151"/>
    </row>
    <row r="10" spans="1:48" ht="15.75" x14ac:dyDescent="0.25">
      <c r="A10" s="565" t="str">
        <f t="shared" si="10"/>
        <v>sábado</v>
      </c>
      <c r="B10" s="566"/>
      <c r="C10" s="574"/>
      <c r="D10" s="568"/>
      <c r="E10" s="568"/>
      <c r="F10" s="568"/>
      <c r="G10" s="575"/>
      <c r="H10" s="568"/>
      <c r="I10" s="568"/>
      <c r="J10" s="576"/>
      <c r="K10" s="573"/>
      <c r="L10" s="572"/>
      <c r="M10" s="555">
        <v>3</v>
      </c>
      <c r="N10" s="207"/>
      <c r="O10" s="207">
        <f>+COUNTIFS($J:$J,"UCM",$G:$G,"3")</f>
        <v>0</v>
      </c>
      <c r="P10" s="138">
        <f t="shared" si="8"/>
        <v>0</v>
      </c>
      <c r="Q10" s="207"/>
      <c r="R10" s="139">
        <f t="shared" si="0"/>
        <v>0</v>
      </c>
      <c r="S10" s="124">
        <v>3</v>
      </c>
      <c r="T10" s="156">
        <f>+COUNTIFS($J:$J,"ESTUDIANTE_UCM",$G:$G,"3",$I:$I,"MAÑANA")</f>
        <v>0</v>
      </c>
      <c r="U10" s="138">
        <f t="shared" si="9"/>
        <v>0</v>
      </c>
      <c r="V10" s="156">
        <f>+COUNTIFS($J:$J,"ESTUDIANTE_UCM",$G:$G,"3",$I:$I,"TARDE")</f>
        <v>0</v>
      </c>
      <c r="W10" s="138">
        <f t="shared" si="6"/>
        <v>0</v>
      </c>
      <c r="X10" s="156">
        <f>+COUNTIFS($J:$J,"ESTUDIANTE_UCM",$G:$G,"3",$I:$I,"NOCHE")</f>
        <v>0</v>
      </c>
      <c r="Y10" s="138"/>
      <c r="Z10" s="125"/>
      <c r="AA10" s="124">
        <v>3</v>
      </c>
      <c r="AB10" s="156">
        <f>+COUNTIFS($J:$J,"EGRESADO_UCM",$G:$G,"3")</f>
        <v>0</v>
      </c>
      <c r="AC10" s="156"/>
      <c r="AD10" s="138">
        <f t="shared" si="2"/>
        <v>0</v>
      </c>
      <c r="AE10" s="156"/>
      <c r="AF10" s="138"/>
      <c r="AG10" s="155"/>
      <c r="AH10" s="124">
        <v>3</v>
      </c>
      <c r="AI10" s="156">
        <f>+COUNTIFS($J:$J,"COLABORADOR",$G:$G,"3",$I:$I,"MAÑANA")</f>
        <v>0</v>
      </c>
      <c r="AJ10" s="138">
        <f t="shared" si="3"/>
        <v>0</v>
      </c>
      <c r="AK10" s="156">
        <f>+COUNTIFS($J:$J,"COLABORADOR",$G:$G,"3",$I:$I,"tarde")</f>
        <v>0</v>
      </c>
      <c r="AL10" s="154">
        <f t="shared" si="4"/>
        <v>0</v>
      </c>
      <c r="AM10" s="156">
        <f>+COUNTIFS($J:$J,"COLABORADOR",$G:$G,"3",$I:$I,"noche")</f>
        <v>0</v>
      </c>
      <c r="AN10" s="154">
        <f t="shared" si="5"/>
        <v>0</v>
      </c>
      <c r="AO10" s="139">
        <f t="shared" si="7"/>
        <v>0</v>
      </c>
      <c r="AP10" s="124">
        <v>3</v>
      </c>
      <c r="AQ10" s="124"/>
      <c r="AR10" s="156">
        <f>+COUNTIFS($J:$J,"ESTUDIANTE_EXTERNO",$G:$G,"3")</f>
        <v>0</v>
      </c>
      <c r="AS10" s="138">
        <f t="shared" si="1"/>
        <v>0</v>
      </c>
      <c r="AT10" s="156"/>
      <c r="AU10" s="173"/>
      <c r="AV10" s="151"/>
    </row>
    <row r="11" spans="1:48" s="200" customFormat="1" ht="15.75" x14ac:dyDescent="0.25">
      <c r="A11" s="565" t="str">
        <f t="shared" si="10"/>
        <v>sábado</v>
      </c>
      <c r="B11" s="566"/>
      <c r="C11" s="574"/>
      <c r="D11" s="577"/>
      <c r="E11" s="577"/>
      <c r="F11" s="577"/>
      <c r="G11" s="578"/>
      <c r="H11" s="577"/>
      <c r="I11" s="577"/>
      <c r="J11" s="574"/>
      <c r="K11" s="574"/>
      <c r="L11" s="572"/>
      <c r="M11" s="555">
        <v>3.5</v>
      </c>
      <c r="N11" s="207"/>
      <c r="O11" s="207">
        <f>+COUNTIFS($J:$J,"UCM",$G:$G,"3,5")</f>
        <v>0</v>
      </c>
      <c r="P11" s="138">
        <f t="shared" si="8"/>
        <v>0</v>
      </c>
      <c r="Q11" s="207"/>
      <c r="R11" s="139">
        <f t="shared" si="0"/>
        <v>0</v>
      </c>
      <c r="S11" s="124">
        <v>3.5</v>
      </c>
      <c r="T11" s="156">
        <f>+COUNTIFS($J:$J,"ESTUDIANTE_UCM",$G:$G,"3,5",$I:$I,"MAÑANA")</f>
        <v>0</v>
      </c>
      <c r="U11" s="138">
        <f t="shared" si="9"/>
        <v>0</v>
      </c>
      <c r="V11" s="156">
        <f>+COUNTIFS($J:$J,"ESTUDIANTE_UCM",$G:$G,"3,5",$I:$I,"TARDE")</f>
        <v>0</v>
      </c>
      <c r="W11" s="138">
        <f t="shared" si="6"/>
        <v>0</v>
      </c>
      <c r="X11" s="156">
        <f>+COUNTIFS($J:$J,"ESTUDIANTE_UCM",$G:$G,"3,5",$I:$I,"NOCHE")</f>
        <v>0</v>
      </c>
      <c r="Y11" s="138"/>
      <c r="Z11" s="125"/>
      <c r="AA11" s="124">
        <v>3.5</v>
      </c>
      <c r="AB11" s="156">
        <f>+COUNTIFS($J:$J,"EGRESADO_UCM",$G:$G,"3,5")</f>
        <v>0</v>
      </c>
      <c r="AC11" s="156"/>
      <c r="AD11" s="138">
        <f t="shared" si="2"/>
        <v>0</v>
      </c>
      <c r="AE11" s="156"/>
      <c r="AF11" s="138"/>
      <c r="AG11" s="155"/>
      <c r="AH11" s="124">
        <v>3.5</v>
      </c>
      <c r="AI11" s="156">
        <f>+COUNTIFS($J:$J,"COLABORADOR",$G:$G,"3,5",$I:$I,"MAÑANA")</f>
        <v>0</v>
      </c>
      <c r="AJ11" s="138">
        <f t="shared" si="3"/>
        <v>0</v>
      </c>
      <c r="AK11" s="156">
        <f>+COUNTIFS($J:$J,"COLABORADOR",$G:$G,"3,5",$I:$I,"tarde")</f>
        <v>0</v>
      </c>
      <c r="AL11" s="154">
        <f t="shared" si="4"/>
        <v>0</v>
      </c>
      <c r="AM11" s="156">
        <f>+COUNTIFS($J:$J,"COLABORADOR",$G:$G,"3,5",$I:$I,"noche")</f>
        <v>0</v>
      </c>
      <c r="AN11" s="154">
        <f t="shared" si="5"/>
        <v>0</v>
      </c>
      <c r="AO11" s="139">
        <f t="shared" si="7"/>
        <v>0</v>
      </c>
      <c r="AP11" s="124">
        <v>3.5</v>
      </c>
      <c r="AQ11" s="124"/>
      <c r="AR11" s="156">
        <f>+COUNTIFS($J:$J,"ESTUDIANTE_EXTERNO",$G:$G,"3,5")</f>
        <v>0</v>
      </c>
      <c r="AS11" s="138">
        <f t="shared" si="1"/>
        <v>0</v>
      </c>
      <c r="AT11" s="156"/>
      <c r="AU11" s="173"/>
      <c r="AV11" s="151"/>
    </row>
    <row r="12" spans="1:48" s="200" customFormat="1" ht="16.5" thickBot="1" x14ac:dyDescent="0.3">
      <c r="A12" s="565" t="str">
        <f t="shared" si="10"/>
        <v>sábado</v>
      </c>
      <c r="B12" s="566"/>
      <c r="C12" s="579"/>
      <c r="D12" s="577"/>
      <c r="E12" s="577"/>
      <c r="F12" s="577"/>
      <c r="G12" s="580"/>
      <c r="H12" s="577"/>
      <c r="I12" s="577"/>
      <c r="J12" s="581"/>
      <c r="K12" s="581"/>
      <c r="L12" s="572"/>
      <c r="M12" s="136">
        <v>4</v>
      </c>
      <c r="N12" s="136"/>
      <c r="O12" s="136">
        <f>+COUNTIFS($J:$J,"UCM",$G:$G,"4")</f>
        <v>0</v>
      </c>
      <c r="P12" s="140">
        <f t="shared" si="8"/>
        <v>0</v>
      </c>
      <c r="Q12" s="136"/>
      <c r="R12" s="141">
        <f t="shared" si="0"/>
        <v>0</v>
      </c>
      <c r="S12" s="124">
        <v>4</v>
      </c>
      <c r="T12" s="156">
        <f>+COUNTIFS($J:$J,"ESTUDIANTE_UCM",$G:$G,"4",$I:$I,"MAÑANA")</f>
        <v>0</v>
      </c>
      <c r="U12" s="138">
        <f t="shared" si="9"/>
        <v>0</v>
      </c>
      <c r="V12" s="156">
        <f>+COUNTIFS($J:$J,"ESTUDIANTE_UCM",$G:$G,"4",$I:$I,"TARDE")</f>
        <v>0</v>
      </c>
      <c r="W12" s="138">
        <f t="shared" si="6"/>
        <v>0</v>
      </c>
      <c r="X12" s="156">
        <f>+COUNTIFS($J:$J,"ESTUDIANTE_UCM",$G:$G,"4",$I:$I,"NOCHE")</f>
        <v>0</v>
      </c>
      <c r="Y12" s="138"/>
      <c r="Z12" s="125"/>
      <c r="AA12" s="124">
        <v>4</v>
      </c>
      <c r="AB12" s="156">
        <f>+COUNTIFS($J:$J,"EGRESADO_UCM",$G:$G,"4")</f>
        <v>0</v>
      </c>
      <c r="AC12" s="156"/>
      <c r="AD12" s="138">
        <f t="shared" si="2"/>
        <v>0</v>
      </c>
      <c r="AE12" s="156"/>
      <c r="AF12" s="138"/>
      <c r="AG12" s="155"/>
      <c r="AH12" s="124">
        <v>4</v>
      </c>
      <c r="AI12" s="156">
        <f>+COUNTIFS($J:$J,"COLABORADOR",$G:$G,"4",$I:$I,"MAÑANA")</f>
        <v>0</v>
      </c>
      <c r="AJ12" s="138">
        <f t="shared" si="3"/>
        <v>0</v>
      </c>
      <c r="AK12" s="156">
        <f>+COUNTIFS($J:$J,"COLABORADOR",$G:$G,"4",$I:$I,"tarde")</f>
        <v>0</v>
      </c>
      <c r="AL12" s="154">
        <f t="shared" si="4"/>
        <v>0</v>
      </c>
      <c r="AM12" s="156">
        <f>+COUNTIFS($J:$J,"COLABORADOR",$G:$G,"4",$I:$I,"noche")</f>
        <v>0</v>
      </c>
      <c r="AN12" s="154">
        <f t="shared" si="5"/>
        <v>0</v>
      </c>
      <c r="AO12" s="139">
        <f t="shared" si="7"/>
        <v>0</v>
      </c>
      <c r="AP12" s="124">
        <v>4</v>
      </c>
      <c r="AQ12" s="124"/>
      <c r="AR12" s="156">
        <f>+COUNTIFS($J:$J,"ESTUDIANTE_EXTERNO",$G:$G,"4")</f>
        <v>0</v>
      </c>
      <c r="AS12" s="138">
        <f t="shared" si="1"/>
        <v>0</v>
      </c>
      <c r="AT12" s="156"/>
      <c r="AU12" s="173"/>
      <c r="AV12" s="151"/>
    </row>
    <row r="13" spans="1:48" ht="16.5" thickBot="1" x14ac:dyDescent="0.3">
      <c r="A13" s="565" t="str">
        <f t="shared" si="10"/>
        <v>sábado</v>
      </c>
      <c r="B13" s="566"/>
      <c r="C13" s="572"/>
      <c r="D13" s="582"/>
      <c r="E13" s="569"/>
      <c r="F13" s="309"/>
      <c r="G13" s="583"/>
      <c r="H13" s="309"/>
      <c r="I13" s="584"/>
      <c r="J13" s="585"/>
      <c r="K13" s="573"/>
      <c r="L13" s="572"/>
      <c r="M13" s="166"/>
      <c r="N13" s="166"/>
      <c r="O13" s="166"/>
      <c r="P13" s="153">
        <f>SUM(P5:P12)</f>
        <v>0</v>
      </c>
      <c r="Q13" s="166"/>
      <c r="R13" s="142">
        <f>SUM(R5:R12)</f>
        <v>0</v>
      </c>
      <c r="S13" s="133" t="s">
        <v>31</v>
      </c>
      <c r="T13" s="166"/>
      <c r="U13" s="158"/>
      <c r="V13" s="158"/>
      <c r="W13" s="153">
        <f>SUM(W5:W12)</f>
        <v>0</v>
      </c>
      <c r="X13" s="158"/>
      <c r="Y13" s="142">
        <f>SUM(Y5:Y12)</f>
        <v>0</v>
      </c>
      <c r="Z13" s="161">
        <f>+Y13+W13+U13</f>
        <v>0</v>
      </c>
      <c r="AA13" s="133" t="s">
        <v>36</v>
      </c>
      <c r="AB13" s="166"/>
      <c r="AC13" s="205"/>
      <c r="AD13" s="179">
        <f>SUM(AD5:AD12)</f>
        <v>0</v>
      </c>
      <c r="AE13" s="166"/>
      <c r="AF13" s="227">
        <f>SUM(AF5:AF12)</f>
        <v>0</v>
      </c>
      <c r="AG13" s="167">
        <f>+AF13+AD13</f>
        <v>0</v>
      </c>
      <c r="AH13" s="165" t="s">
        <v>38</v>
      </c>
      <c r="AI13" s="130"/>
      <c r="AJ13" s="169"/>
      <c r="AK13" s="140"/>
      <c r="AL13" s="140">
        <f>SUM(AL5:AL12)</f>
        <v>0</v>
      </c>
      <c r="AM13" s="140"/>
      <c r="AN13" s="140">
        <f>SUM(AN5:AN12)</f>
        <v>0</v>
      </c>
      <c r="AO13" s="141">
        <f>+AN13+AL13</f>
        <v>0</v>
      </c>
      <c r="AP13" s="129" t="s">
        <v>38</v>
      </c>
      <c r="AQ13" s="130"/>
      <c r="AR13" s="130"/>
      <c r="AS13" s="140">
        <f>SUM(AS5:AS12)</f>
        <v>0</v>
      </c>
      <c r="AT13" s="130"/>
      <c r="AU13" s="172">
        <f>SUM(AU5:AU12)</f>
        <v>0</v>
      </c>
      <c r="AV13" s="160">
        <f>+AS13</f>
        <v>0</v>
      </c>
    </row>
    <row r="14" spans="1:48" ht="16.5" thickBot="1" x14ac:dyDescent="0.3">
      <c r="A14" s="565" t="str">
        <f t="shared" si="10"/>
        <v>sábado</v>
      </c>
      <c r="B14" s="566"/>
      <c r="C14" s="572"/>
      <c r="D14" s="582"/>
      <c r="E14" s="564"/>
      <c r="F14" s="309"/>
      <c r="G14" s="309"/>
      <c r="H14" s="309"/>
      <c r="I14" s="309"/>
      <c r="J14" s="586"/>
      <c r="K14" s="573"/>
      <c r="L14" s="572"/>
      <c r="M14" s="89"/>
      <c r="N14" s="89"/>
      <c r="O14" s="89"/>
      <c r="P14" s="89"/>
      <c r="Q14" s="133" t="s">
        <v>33</v>
      </c>
      <c r="R14" s="160">
        <f>+R13+P13</f>
        <v>0</v>
      </c>
      <c r="S14" s="157" t="s">
        <v>32</v>
      </c>
      <c r="T14" s="166"/>
      <c r="U14" s="153">
        <f>SUM(U5:U12)</f>
        <v>0</v>
      </c>
      <c r="V14" s="158"/>
      <c r="W14" s="179">
        <f>+W13</f>
        <v>0</v>
      </c>
      <c r="X14" s="180"/>
      <c r="Y14" s="181">
        <f>+Y13</f>
        <v>0</v>
      </c>
      <c r="Z14" s="160">
        <f>+U14+W14+Y14</f>
        <v>0</v>
      </c>
      <c r="AA14" s="152"/>
      <c r="AB14" s="130"/>
      <c r="AC14" s="129" t="s">
        <v>34</v>
      </c>
      <c r="AD14" s="140">
        <f>+(AD13*10%)/90%</f>
        <v>0</v>
      </c>
      <c r="AE14" s="140"/>
      <c r="AF14" s="140">
        <f>+(AF13*10%)/90%</f>
        <v>0</v>
      </c>
      <c r="AG14" s="159">
        <f>+AF14+AD14</f>
        <v>0</v>
      </c>
      <c r="AH14" s="133" t="s">
        <v>41</v>
      </c>
      <c r="AI14" s="166"/>
      <c r="AJ14" s="153">
        <f>SUM(AJ5:AJ12)</f>
        <v>0</v>
      </c>
      <c r="AK14" s="153"/>
      <c r="AL14" s="153">
        <f>+(AL13*40%)/60%</f>
        <v>0</v>
      </c>
      <c r="AM14" s="153"/>
      <c r="AN14" s="153">
        <f>+(AN13*40%)/60%</f>
        <v>0</v>
      </c>
      <c r="AO14" s="170">
        <f>+AN14+AL14+AJ14</f>
        <v>0</v>
      </c>
      <c r="AP14" s="174" t="s">
        <v>41</v>
      </c>
      <c r="AQ14" s="175"/>
      <c r="AR14" s="175"/>
      <c r="AS14" s="175">
        <f>+(AS13*20%)/80%</f>
        <v>0</v>
      </c>
      <c r="AT14" s="175"/>
      <c r="AU14" s="175">
        <f>+(AU13*20%)/80%</f>
        <v>0</v>
      </c>
      <c r="AV14" s="170">
        <f>+AU14+AS14</f>
        <v>0</v>
      </c>
    </row>
    <row r="15" spans="1:48" ht="15.75" x14ac:dyDescent="0.25">
      <c r="A15" s="565" t="str">
        <f t="shared" si="10"/>
        <v>sábado</v>
      </c>
      <c r="B15" s="566"/>
      <c r="C15" s="587"/>
      <c r="D15" s="588"/>
      <c r="E15" s="588"/>
      <c r="F15" s="588"/>
      <c r="G15" s="588"/>
      <c r="H15" s="588"/>
      <c r="I15" s="588"/>
      <c r="J15" s="589"/>
      <c r="K15" s="573"/>
      <c r="L15" s="573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8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208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</row>
    <row r="16" spans="1:48" s="200" customFormat="1" ht="15.75" x14ac:dyDescent="0.25">
      <c r="A16" s="565" t="str">
        <f t="shared" si="10"/>
        <v>sábado</v>
      </c>
      <c r="B16" s="566"/>
      <c r="C16" s="590"/>
      <c r="D16" s="591"/>
      <c r="E16" s="309"/>
      <c r="F16" s="309"/>
      <c r="G16" s="592"/>
      <c r="H16" s="591"/>
      <c r="I16" s="591"/>
      <c r="J16" s="593"/>
      <c r="K16" s="573"/>
      <c r="L16" s="572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8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</row>
    <row r="17" spans="1:48" s="87" customFormat="1" ht="16.5" thickBot="1" x14ac:dyDescent="0.3">
      <c r="A17" s="565" t="str">
        <f t="shared" si="10"/>
        <v>sábado</v>
      </c>
      <c r="B17" s="566"/>
      <c r="C17" s="590"/>
      <c r="D17" s="591"/>
      <c r="E17" s="569"/>
      <c r="F17" s="591"/>
      <c r="G17" s="570"/>
      <c r="H17" s="569"/>
      <c r="I17" s="591"/>
      <c r="J17" s="594"/>
      <c r="K17" s="573"/>
      <c r="L17" s="572"/>
      <c r="M17" s="116"/>
      <c r="N17" s="116"/>
      <c r="O17" s="116"/>
      <c r="P17" s="116"/>
      <c r="Q17" s="116"/>
      <c r="R17" s="137"/>
      <c r="S17" s="116"/>
      <c r="T17" s="116"/>
      <c r="U17" s="116"/>
      <c r="V17" s="116"/>
      <c r="W17" s="116"/>
      <c r="X17" s="116"/>
      <c r="Y17" s="116"/>
      <c r="Z17" s="116"/>
      <c r="AA17" s="118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</row>
    <row r="18" spans="1:48" ht="16.5" thickBot="1" x14ac:dyDescent="0.3">
      <c r="A18" s="565" t="str">
        <f t="shared" si="10"/>
        <v>sábado</v>
      </c>
      <c r="B18" s="566"/>
      <c r="C18" s="595"/>
      <c r="D18" s="596"/>
      <c r="E18" s="596"/>
      <c r="F18" s="596"/>
      <c r="G18" s="597"/>
      <c r="H18" s="596"/>
      <c r="I18" s="596"/>
      <c r="J18" s="598"/>
      <c r="K18" s="573"/>
      <c r="L18" s="572"/>
      <c r="M18" s="660" t="s">
        <v>43</v>
      </c>
      <c r="N18" s="660"/>
      <c r="O18" s="660"/>
      <c r="P18" s="660"/>
      <c r="Q18" s="660"/>
      <c r="R18" s="660"/>
      <c r="S18" s="661"/>
      <c r="T18" s="659" t="s">
        <v>45</v>
      </c>
      <c r="U18" s="660"/>
      <c r="V18" s="660"/>
      <c r="W18" s="660"/>
      <c r="X18" s="660"/>
      <c r="Y18" s="660"/>
      <c r="Z18" s="661"/>
      <c r="AA18" s="672" t="s">
        <v>44</v>
      </c>
      <c r="AB18" s="673"/>
      <c r="AC18" s="673"/>
      <c r="AD18" s="673"/>
      <c r="AE18" s="673"/>
      <c r="AF18" s="673"/>
      <c r="AG18" s="674"/>
      <c r="AH18" s="209" t="s">
        <v>62</v>
      </c>
      <c r="AI18" s="210"/>
      <c r="AJ18" s="211"/>
      <c r="AK18" s="111"/>
      <c r="AL18" s="111"/>
      <c r="AM18" s="676" t="s">
        <v>101</v>
      </c>
      <c r="AN18" s="677"/>
      <c r="AO18" s="89"/>
      <c r="AP18" s="676" t="s">
        <v>100</v>
      </c>
      <c r="AQ18" s="677"/>
      <c r="AR18" s="89"/>
      <c r="AS18" s="89"/>
      <c r="AT18" s="89"/>
      <c r="AU18" s="89"/>
      <c r="AV18" s="89"/>
    </row>
    <row r="19" spans="1:48" s="200" customFormat="1" ht="15.75" x14ac:dyDescent="0.25">
      <c r="A19" s="565" t="str">
        <f t="shared" si="10"/>
        <v>sábado</v>
      </c>
      <c r="B19" s="599"/>
      <c r="C19" s="600"/>
      <c r="D19" s="591"/>
      <c r="E19" s="601"/>
      <c r="F19" s="309"/>
      <c r="G19" s="602"/>
      <c r="H19" s="603"/>
      <c r="I19" s="564"/>
      <c r="J19" s="594"/>
      <c r="K19" s="572"/>
      <c r="L19" s="572"/>
      <c r="M19" s="555"/>
      <c r="N19" s="177">
        <v>8700</v>
      </c>
      <c r="O19" s="177">
        <v>8700</v>
      </c>
      <c r="P19" s="146"/>
      <c r="Q19" s="177">
        <v>8700</v>
      </c>
      <c r="R19" s="146"/>
      <c r="S19" s="164"/>
      <c r="T19" s="176"/>
      <c r="U19" s="63">
        <v>8700</v>
      </c>
      <c r="V19" s="63">
        <v>8700</v>
      </c>
      <c r="W19" s="63"/>
      <c r="X19" s="63">
        <v>8700</v>
      </c>
      <c r="Y19" s="63"/>
      <c r="Z19" s="164"/>
      <c r="AA19" s="145"/>
      <c r="AB19" s="63">
        <v>8700</v>
      </c>
      <c r="AC19" s="63">
        <v>8700</v>
      </c>
      <c r="AD19" s="63"/>
      <c r="AE19" s="63">
        <v>8700</v>
      </c>
      <c r="AF19" s="63"/>
      <c r="AG19" s="164"/>
      <c r="AH19" s="145"/>
      <c r="AI19" s="63">
        <v>8700</v>
      </c>
      <c r="AJ19" s="164"/>
      <c r="AK19" s="111"/>
      <c r="AL19" s="111"/>
      <c r="AM19" s="176" t="s">
        <v>26</v>
      </c>
      <c r="AN19" s="151">
        <f>+R14</f>
        <v>0</v>
      </c>
      <c r="AO19" s="89"/>
      <c r="AP19" s="176" t="s">
        <v>98</v>
      </c>
      <c r="AQ19" s="151">
        <f>+Z13</f>
        <v>0</v>
      </c>
      <c r="AR19" s="89"/>
      <c r="AS19" s="89"/>
      <c r="AT19" s="89"/>
      <c r="AU19" s="89"/>
      <c r="AV19" s="89"/>
    </row>
    <row r="20" spans="1:48" s="200" customFormat="1" ht="15.75" x14ac:dyDescent="0.25">
      <c r="A20" s="565" t="str">
        <f t="shared" si="10"/>
        <v>sábado</v>
      </c>
      <c r="B20" s="599"/>
      <c r="C20" s="604"/>
      <c r="D20" s="605"/>
      <c r="E20" s="605"/>
      <c r="F20" s="605"/>
      <c r="G20" s="606"/>
      <c r="H20" s="605"/>
      <c r="I20" s="605"/>
      <c r="J20" s="607"/>
      <c r="K20" s="607"/>
      <c r="L20" s="572"/>
      <c r="M20" s="63" t="s">
        <v>22</v>
      </c>
      <c r="N20" s="63" t="s">
        <v>16</v>
      </c>
      <c r="O20" s="63" t="s">
        <v>17</v>
      </c>
      <c r="P20" s="138"/>
      <c r="Q20" s="63" t="s">
        <v>15</v>
      </c>
      <c r="R20" s="138"/>
      <c r="S20" s="164" t="s">
        <v>10</v>
      </c>
      <c r="T20" s="176" t="s">
        <v>22</v>
      </c>
      <c r="U20" s="63" t="s">
        <v>37</v>
      </c>
      <c r="V20" s="63" t="s">
        <v>39</v>
      </c>
      <c r="W20" s="63"/>
      <c r="X20" s="63" t="s">
        <v>15</v>
      </c>
      <c r="Y20" s="63"/>
      <c r="Z20" s="164" t="s">
        <v>28</v>
      </c>
      <c r="AA20" s="182" t="s">
        <v>22</v>
      </c>
      <c r="AB20" s="63" t="s">
        <v>16</v>
      </c>
      <c r="AC20" s="156" t="s">
        <v>17</v>
      </c>
      <c r="AD20" s="156"/>
      <c r="AE20" s="156" t="s">
        <v>40</v>
      </c>
      <c r="AF20" s="156"/>
      <c r="AG20" s="125" t="s">
        <v>47</v>
      </c>
      <c r="AH20" s="182" t="s">
        <v>22</v>
      </c>
      <c r="AI20" s="63" t="s">
        <v>16</v>
      </c>
      <c r="AJ20" s="125"/>
      <c r="AK20" s="111"/>
      <c r="AL20" s="111"/>
      <c r="AM20" s="176" t="s">
        <v>98</v>
      </c>
      <c r="AN20" s="151">
        <f>+Z14</f>
        <v>0</v>
      </c>
      <c r="AO20" s="89"/>
      <c r="AP20" s="176" t="s">
        <v>13</v>
      </c>
      <c r="AQ20" s="151">
        <f>+AG13</f>
        <v>0</v>
      </c>
      <c r="AR20" s="89"/>
      <c r="AS20" s="89"/>
      <c r="AT20" s="89"/>
      <c r="AU20" s="89"/>
      <c r="AV20" s="89"/>
    </row>
    <row r="21" spans="1:48" s="200" customFormat="1" ht="15.75" x14ac:dyDescent="0.25">
      <c r="A21" s="565" t="str">
        <f t="shared" si="10"/>
        <v>sábado</v>
      </c>
      <c r="B21" s="566"/>
      <c r="C21" s="604"/>
      <c r="D21" s="605"/>
      <c r="E21" s="605"/>
      <c r="F21" s="605"/>
      <c r="G21" s="605"/>
      <c r="H21" s="605"/>
      <c r="I21" s="605"/>
      <c r="J21" s="607"/>
      <c r="K21" s="604"/>
      <c r="L21" s="572"/>
      <c r="M21" s="555">
        <v>0.5</v>
      </c>
      <c r="N21" s="156">
        <f>+COUNTIFS($J:$J,"PARTICULAR",$G:$G,"0,5",$I:$I,"MAÑANA")</f>
        <v>0</v>
      </c>
      <c r="O21" s="156">
        <f>+COUNTIFS($J:$J,"PARTICULAR",$G:$G,"0,5",$I:$I,"TARDE")</f>
        <v>0</v>
      </c>
      <c r="P21" s="138">
        <f>+(O21+N21)*$O$19*M21</f>
        <v>0</v>
      </c>
      <c r="Q21" s="156">
        <f>+COUNTIFS($J:$J,"PARTICULAR",$G:$G,"0,5",$I:$I,"NOCHE")</f>
        <v>0</v>
      </c>
      <c r="R21" s="138">
        <f t="shared" ref="R21:R23" si="11">+Q21*M21*$Q$19</f>
        <v>0</v>
      </c>
      <c r="S21" s="139">
        <f t="shared" ref="S21:S29" si="12">+R21+P21</f>
        <v>0</v>
      </c>
      <c r="T21" s="124">
        <v>0.5</v>
      </c>
      <c r="U21" s="156">
        <f>+COUNTIFS($J:$J,"FACULTAD",$G:$G,"0,5",$I:$I,"MAÑANA")</f>
        <v>0</v>
      </c>
      <c r="V21" s="156">
        <f>+COUNTIFS($J:$J,"FACULTAD",$G:$G,"0,5",$I:$I,"TARDE")</f>
        <v>0</v>
      </c>
      <c r="W21" s="138">
        <f>+(V21+U21)*$V$19*T21</f>
        <v>0</v>
      </c>
      <c r="X21" s="156">
        <f>+COUNTIFS($J:$J,"facultad",$G:$G,"0,5",$I:$I,"noche")</f>
        <v>0</v>
      </c>
      <c r="Y21" s="138">
        <f>+$X$19*X21</f>
        <v>0</v>
      </c>
      <c r="Z21" s="138">
        <f>+Y21+W21</f>
        <v>0</v>
      </c>
      <c r="AA21" s="124">
        <v>0.5</v>
      </c>
      <c r="AB21" s="156">
        <f>+COUNTIFS($J:$J,"convenio",$G:$G,"0,5",$I:$I,"mañana")</f>
        <v>0</v>
      </c>
      <c r="AC21" s="156">
        <f>+COUNTIFS($J:$J,"convenio",$G:$G,"0,5",$I:$I,"TARDE")</f>
        <v>0</v>
      </c>
      <c r="AD21" s="154">
        <f>+(AC21+AB21)*$AC$19*AA21</f>
        <v>0</v>
      </c>
      <c r="AE21" s="156">
        <f>+COUNTIFS($J:$J,"convenio",$G:$G,"0,5",$I:$I,"NOCHE")</f>
        <v>0</v>
      </c>
      <c r="AF21" s="156">
        <f>+AE21*$AE$19</f>
        <v>0</v>
      </c>
      <c r="AG21" s="183">
        <f>+AF21+AD21</f>
        <v>0</v>
      </c>
      <c r="AH21" s="124">
        <v>0.5</v>
      </c>
      <c r="AI21" s="156">
        <f>+COUNTIFS($J:$J,"PARTICULAR PAQUETE ",$G:$G,"0,5")</f>
        <v>0</v>
      </c>
      <c r="AJ21" s="183">
        <f>+AI21*$AI$19*AH21</f>
        <v>0</v>
      </c>
      <c r="AK21" s="111"/>
      <c r="AL21" s="111"/>
      <c r="AM21" s="176" t="s">
        <v>13</v>
      </c>
      <c r="AN21" s="151">
        <f>+AG14</f>
        <v>0</v>
      </c>
      <c r="AO21" s="89"/>
      <c r="AP21" s="176" t="s">
        <v>24</v>
      </c>
      <c r="AQ21" s="151">
        <f>+AO13</f>
        <v>0</v>
      </c>
      <c r="AR21" s="89"/>
      <c r="AS21" s="89"/>
      <c r="AT21" s="89"/>
      <c r="AU21" s="89"/>
      <c r="AV21" s="89"/>
    </row>
    <row r="22" spans="1:48" s="87" customFormat="1" ht="15.75" x14ac:dyDescent="0.25">
      <c r="A22" s="565" t="str">
        <f t="shared" si="10"/>
        <v>sábado</v>
      </c>
      <c r="B22" s="566"/>
      <c r="C22" s="604"/>
      <c r="D22" s="605"/>
      <c r="E22" s="605"/>
      <c r="F22" s="605"/>
      <c r="G22" s="605"/>
      <c r="H22" s="605"/>
      <c r="I22" s="605"/>
      <c r="J22" s="607"/>
      <c r="K22" s="604"/>
      <c r="L22" s="572"/>
      <c r="M22" s="555">
        <v>1</v>
      </c>
      <c r="N22" s="156">
        <f>+COUNTIFS($J:$J,"PARTICULAR",$G:$G,"1",$I:$I,"MAÑANA")</f>
        <v>0</v>
      </c>
      <c r="O22" s="156">
        <f>+COUNTIFS($J:$J,"PARTICULAR",$G:$G,"1",$I:$I,"TARDE")</f>
        <v>0</v>
      </c>
      <c r="P22" s="138">
        <f>+(O22+N22)*$O$19*M22</f>
        <v>0</v>
      </c>
      <c r="Q22" s="156">
        <f>+COUNTIFS($J:$J,"PARTICULAR",$G:$G,"1",$I:$I,"NOCHE")</f>
        <v>0</v>
      </c>
      <c r="R22" s="138">
        <f t="shared" si="11"/>
        <v>0</v>
      </c>
      <c r="S22" s="139">
        <f t="shared" si="12"/>
        <v>0</v>
      </c>
      <c r="T22" s="124">
        <v>1</v>
      </c>
      <c r="U22" s="156">
        <f>+COUNTIFS($J:$J,"FACULTAD",$G:$G,"1",$I:$I,"MAÑANA")</f>
        <v>0</v>
      </c>
      <c r="V22" s="156">
        <f>+COUNTIFS($J:$J,"FACULTAD",$G:$G,"1",$I:$I,"TARDE")</f>
        <v>0</v>
      </c>
      <c r="W22" s="138">
        <f t="shared" ref="W22:W28" si="13">+(V22+U22)*$V$19*T22</f>
        <v>0</v>
      </c>
      <c r="X22" s="156">
        <f>+COUNTIFS($J:$J,"facultad",$G:$G,"1",$I:$I,"noche")</f>
        <v>0</v>
      </c>
      <c r="Y22" s="138">
        <f t="shared" ref="Y22:Y28" si="14">+$X$19*X22</f>
        <v>0</v>
      </c>
      <c r="Z22" s="138">
        <f t="shared" ref="Z22:Z28" si="15">+Y22+W22</f>
        <v>0</v>
      </c>
      <c r="AA22" s="124">
        <v>1</v>
      </c>
      <c r="AB22" s="156">
        <f>+COUNTIFS($J:$J,"convenio",$G:$G,"1",$I:$I,"mañana")</f>
        <v>0</v>
      </c>
      <c r="AC22" s="156">
        <f>+COUNTIFS($J:$J,"convenio",$G:$G,"1",$I:$I,"TARDE")</f>
        <v>0</v>
      </c>
      <c r="AD22" s="154">
        <f t="shared" ref="AD22:AD28" si="16">+(AC22+AB22)*$AC$19*AA22</f>
        <v>0</v>
      </c>
      <c r="AE22" s="156">
        <f>+COUNTIFS($J:$J,"convenio",$G:$G,"1",$I:$I,"NOCHE")</f>
        <v>0</v>
      </c>
      <c r="AF22" s="156">
        <f t="shared" ref="AF22:AF28" si="17">+AE22*$AE$19</f>
        <v>0</v>
      </c>
      <c r="AG22" s="183">
        <f t="shared" ref="AG22:AG28" si="18">+AF22+AD22</f>
        <v>0</v>
      </c>
      <c r="AH22" s="124">
        <v>1</v>
      </c>
      <c r="AI22" s="156">
        <f>+COUNTIFS($J:$J,"PARTICULAR PAQUETE ",$G:$G,"1")</f>
        <v>0</v>
      </c>
      <c r="AJ22" s="183">
        <f t="shared" ref="AJ22:AJ28" si="19">+AI22*$AI$19*AH22</f>
        <v>0</v>
      </c>
      <c r="AK22" s="111"/>
      <c r="AL22" s="111"/>
      <c r="AM22" s="176" t="s">
        <v>24</v>
      </c>
      <c r="AN22" s="151">
        <f>+AO14</f>
        <v>0</v>
      </c>
      <c r="AO22" s="89"/>
      <c r="AP22" s="176" t="s">
        <v>42</v>
      </c>
      <c r="AQ22" s="151">
        <f>+AV13</f>
        <v>0</v>
      </c>
      <c r="AR22" s="89"/>
      <c r="AS22" s="89"/>
      <c r="AT22" s="89"/>
      <c r="AU22" s="89"/>
      <c r="AV22" s="89"/>
    </row>
    <row r="23" spans="1:48" ht="15.75" x14ac:dyDescent="0.25">
      <c r="A23" s="565" t="str">
        <f t="shared" si="10"/>
        <v>sábado</v>
      </c>
      <c r="B23" s="566"/>
      <c r="C23" s="604"/>
      <c r="D23" s="605"/>
      <c r="E23" s="605"/>
      <c r="F23" s="605"/>
      <c r="G23" s="605"/>
      <c r="H23" s="605"/>
      <c r="I23" s="605"/>
      <c r="J23" s="607"/>
      <c r="K23" s="604"/>
      <c r="L23" s="572"/>
      <c r="M23" s="555">
        <v>1.5</v>
      </c>
      <c r="N23" s="156">
        <f>+COUNTIFS($J:$J,"PARTICULAR",$G:$G,"1,5",$I:$I,"MAÑANA")</f>
        <v>0</v>
      </c>
      <c r="O23" s="156">
        <f>+COUNTIFS($J:$J,"PARTICULAR",$G:$G,"1,5",$I:$I,"TARDE")</f>
        <v>0</v>
      </c>
      <c r="P23" s="138">
        <f>+(O23+N23)*$O$19*M23</f>
        <v>0</v>
      </c>
      <c r="Q23" s="156">
        <f>+COUNTIFS($J:$J,"PARTICULAR",$G:$G,"1,5",$I:$I,"NOCHE")</f>
        <v>0</v>
      </c>
      <c r="R23" s="138">
        <f t="shared" si="11"/>
        <v>0</v>
      </c>
      <c r="S23" s="139">
        <f t="shared" si="12"/>
        <v>0</v>
      </c>
      <c r="T23" s="124">
        <v>1.5</v>
      </c>
      <c r="U23" s="156">
        <f>+COUNTIFS($J:$J,"FACULTAD",$G:$G,"1,5",$I:$I,"MAÑANA")</f>
        <v>0</v>
      </c>
      <c r="V23" s="156">
        <f>+COUNTIFS($J:$J,"FACULTAD",$G:$G,"1,5",$I:$I,"TARDE")</f>
        <v>0</v>
      </c>
      <c r="W23" s="138">
        <f t="shared" si="13"/>
        <v>0</v>
      </c>
      <c r="X23" s="156">
        <f>+COUNTIFS($J:$J,"facultad",$G:$G,"1,5",$I:$I,"noche")</f>
        <v>0</v>
      </c>
      <c r="Y23" s="138">
        <f t="shared" si="14"/>
        <v>0</v>
      </c>
      <c r="Z23" s="138">
        <f t="shared" si="15"/>
        <v>0</v>
      </c>
      <c r="AA23" s="124">
        <v>1.5</v>
      </c>
      <c r="AB23" s="156">
        <f>+COUNTIFS($J:$J,"convenio",$G:$G,"1,5",$I:$I,"mañana")</f>
        <v>0</v>
      </c>
      <c r="AC23" s="156">
        <f>+COUNTIFS($J:$J,"convenio",$G:$G,"1,5",$I:$I,"TARDE")</f>
        <v>0</v>
      </c>
      <c r="AD23" s="154">
        <f t="shared" si="16"/>
        <v>0</v>
      </c>
      <c r="AE23" s="156">
        <f>+COUNTIFS($J:$J,"convenio",$G:$G,"1,5",$I:$I,"NOCHE")</f>
        <v>0</v>
      </c>
      <c r="AF23" s="156">
        <f t="shared" si="17"/>
        <v>0</v>
      </c>
      <c r="AG23" s="183">
        <f t="shared" si="18"/>
        <v>0</v>
      </c>
      <c r="AH23" s="124">
        <v>1.5</v>
      </c>
      <c r="AI23" s="156">
        <f>+COUNTIFS($J:$J,"PARTICULAR PAQUETE ",$G:$G,"1,5")</f>
        <v>0</v>
      </c>
      <c r="AJ23" s="183">
        <f t="shared" si="19"/>
        <v>0</v>
      </c>
      <c r="AK23" s="111"/>
      <c r="AL23" s="111"/>
      <c r="AM23" s="176" t="s">
        <v>42</v>
      </c>
      <c r="AN23" s="155">
        <f>+AV14</f>
        <v>0</v>
      </c>
      <c r="AO23" s="89"/>
      <c r="AP23" s="176" t="s">
        <v>102</v>
      </c>
      <c r="AQ23" s="151">
        <f>+S29+AC34+AI34</f>
        <v>0</v>
      </c>
      <c r="AR23" s="89"/>
      <c r="AS23" s="89">
        <v>0</v>
      </c>
      <c r="AT23" s="89"/>
      <c r="AU23" s="89"/>
      <c r="AV23" s="89"/>
    </row>
    <row r="24" spans="1:48" ht="15.75" x14ac:dyDescent="0.25">
      <c r="A24" s="565" t="str">
        <f t="shared" si="10"/>
        <v>sábado</v>
      </c>
      <c r="B24" s="566"/>
      <c r="C24" s="604"/>
      <c r="D24" s="605"/>
      <c r="E24" s="605"/>
      <c r="F24" s="605"/>
      <c r="G24" s="606"/>
      <c r="H24" s="605"/>
      <c r="I24" s="608"/>
      <c r="J24" s="607"/>
      <c r="K24" s="572"/>
      <c r="L24" s="572"/>
      <c r="M24" s="555">
        <v>2</v>
      </c>
      <c r="N24" s="156">
        <f>+COUNTIFS($J:$J,"PARTICULAR",$G:$G,"2",$I:$I,"MAÑANA")</f>
        <v>0</v>
      </c>
      <c r="O24" s="156">
        <f>+COUNTIFS($J:$J,"PARTICULAR",$G:$G,"2",$I:$I,"TARDE")</f>
        <v>0</v>
      </c>
      <c r="P24" s="138">
        <f>+(O24+N24)*$O$19*M24</f>
        <v>0</v>
      </c>
      <c r="Q24" s="156">
        <f>+COUNTIFS($J:$J,"PARTICULAR",$G:$G,"2",$I:$I,"NOCHE")</f>
        <v>0</v>
      </c>
      <c r="R24" s="138">
        <f>+Q24*M24*$Q$19</f>
        <v>0</v>
      </c>
      <c r="S24" s="139">
        <f t="shared" si="12"/>
        <v>0</v>
      </c>
      <c r="T24" s="124">
        <v>2</v>
      </c>
      <c r="U24" s="156">
        <f>+COUNTIFS($J:$J,"FACULTAD",$G:$G,"2",$I:$I,"MAÑANA")</f>
        <v>0</v>
      </c>
      <c r="V24" s="156">
        <f>+COUNTIFS($J:$J,"FACULTAD",$G:$G,"2",$I:$I,"TARDE")</f>
        <v>0</v>
      </c>
      <c r="W24" s="138">
        <f t="shared" si="13"/>
        <v>0</v>
      </c>
      <c r="X24" s="156">
        <f>+COUNTIFS($J:$J,"facultad",$G:$G,"2",$I:$I,"noche")</f>
        <v>0</v>
      </c>
      <c r="Y24" s="138">
        <f t="shared" si="14"/>
        <v>0</v>
      </c>
      <c r="Z24" s="138">
        <f t="shared" si="15"/>
        <v>0</v>
      </c>
      <c r="AA24" s="124">
        <v>2</v>
      </c>
      <c r="AB24" s="156">
        <f>+COUNTIFS($J:$J,"convenio",$G:$G,"2",$I:$I,"mañana")</f>
        <v>0</v>
      </c>
      <c r="AC24" s="156">
        <f>+COUNTIFS($J:$J,"convenio",$G:$G,"2",$I:$I,"TARDE")</f>
        <v>0</v>
      </c>
      <c r="AD24" s="154">
        <f t="shared" si="16"/>
        <v>0</v>
      </c>
      <c r="AE24" s="156">
        <f>+COUNTIFS($J:$J,"convenio",$G:$G,"2",$I:$I,"NOCHE")</f>
        <v>0</v>
      </c>
      <c r="AF24" s="156">
        <f t="shared" si="17"/>
        <v>0</v>
      </c>
      <c r="AG24" s="183">
        <f t="shared" si="18"/>
        <v>0</v>
      </c>
      <c r="AH24" s="124">
        <v>2</v>
      </c>
      <c r="AI24" s="156">
        <f>+COUNTIFS($J:$J,"PARTICULAR PAQUETE ",$G:$G,"2")</f>
        <v>0</v>
      </c>
      <c r="AJ24" s="183">
        <f t="shared" si="19"/>
        <v>0</v>
      </c>
      <c r="AK24" s="111"/>
      <c r="AL24" s="111"/>
      <c r="AM24" s="176" t="s">
        <v>99</v>
      </c>
      <c r="AN24" s="151">
        <f>+Z29</f>
        <v>0</v>
      </c>
      <c r="AO24" s="89"/>
      <c r="AP24" s="176" t="s">
        <v>76</v>
      </c>
      <c r="AQ24" s="151">
        <f>+AJ29</f>
        <v>0</v>
      </c>
      <c r="AR24" s="89"/>
      <c r="AS24" s="89"/>
      <c r="AT24" s="89"/>
      <c r="AU24" s="89"/>
      <c r="AV24" s="89"/>
    </row>
    <row r="25" spans="1:48" ht="15.75" x14ac:dyDescent="0.25">
      <c r="A25" s="565" t="str">
        <f t="shared" si="10"/>
        <v>sábado</v>
      </c>
      <c r="B25" s="609"/>
      <c r="C25" s="610"/>
      <c r="D25" s="611"/>
      <c r="E25" s="611"/>
      <c r="F25" s="611"/>
      <c r="G25" s="611"/>
      <c r="H25" s="611"/>
      <c r="I25" s="610"/>
      <c r="J25" s="610"/>
      <c r="K25" s="572"/>
      <c r="L25" s="572"/>
      <c r="M25" s="555">
        <v>2.5</v>
      </c>
      <c r="N25" s="156">
        <f>+COUNTIFS($J:$J,"PARTICULAR",$G:$G,"2,5",$I:$I,"MAÑANA")</f>
        <v>0</v>
      </c>
      <c r="O25" s="156">
        <f>+COUNTIFS($J:$J,"PARTICULAR",$G:$G,"2,5",$I:$I,"TARDE")</f>
        <v>0</v>
      </c>
      <c r="P25" s="138">
        <f t="shared" ref="P25:P28" si="20">+(O25+N25)*$O$19*M25</f>
        <v>0</v>
      </c>
      <c r="Q25" s="156">
        <f>+COUNTIFS($J:$J,"PARTICULAR",$G:$G,"2,5",$I:$I,"NOCHE")</f>
        <v>0</v>
      </c>
      <c r="R25" s="138">
        <f t="shared" ref="R25:R27" si="21">+Q25*M25*$Q$19</f>
        <v>0</v>
      </c>
      <c r="S25" s="139">
        <f t="shared" si="12"/>
        <v>0</v>
      </c>
      <c r="T25" s="124">
        <v>2.5</v>
      </c>
      <c r="U25" s="156">
        <f>+COUNTIFS($J:$J,"FACULTAD",$G:$G,"2,5",$I:$I,"MAÑANA")</f>
        <v>0</v>
      </c>
      <c r="V25" s="156">
        <f>+COUNTIFS($J:$J,"FACULTAD",$G:$G,"2,5",$I:$I,"TARDE")</f>
        <v>0</v>
      </c>
      <c r="W25" s="138">
        <f t="shared" si="13"/>
        <v>0</v>
      </c>
      <c r="X25" s="156">
        <f>+COUNTIFS($J:$J,"facultad",$G:$G,"2,5",$I:$I,"noche")</f>
        <v>0</v>
      </c>
      <c r="Y25" s="138">
        <f t="shared" si="14"/>
        <v>0</v>
      </c>
      <c r="Z25" s="138">
        <f t="shared" si="15"/>
        <v>0</v>
      </c>
      <c r="AA25" s="124">
        <v>2.5</v>
      </c>
      <c r="AB25" s="156">
        <f>+COUNTIFS($J:$J,"convenio",$G:$G,"2,5",$I:$I,"mañana")</f>
        <v>0</v>
      </c>
      <c r="AC25" s="156">
        <f>+COUNTIFS($J:$J,"convenio",$G:$G,"2,5",$I:$I,"TARDE")</f>
        <v>0</v>
      </c>
      <c r="AD25" s="154">
        <f t="shared" si="16"/>
        <v>0</v>
      </c>
      <c r="AE25" s="156">
        <f>+COUNTIFS($J:$J,"convenio",$G:$G,"2,5",$I:$I,"NOCHE")</f>
        <v>0</v>
      </c>
      <c r="AF25" s="156">
        <f t="shared" si="17"/>
        <v>0</v>
      </c>
      <c r="AG25" s="183">
        <f t="shared" si="18"/>
        <v>0</v>
      </c>
      <c r="AH25" s="124">
        <v>2.5</v>
      </c>
      <c r="AI25" s="156">
        <f>+COUNTIFS($J:$J,"PARTICULAR PAQUETE ",$G:$G,"2,5")</f>
        <v>0</v>
      </c>
      <c r="AJ25" s="183">
        <f t="shared" si="19"/>
        <v>0</v>
      </c>
      <c r="AK25" s="111"/>
      <c r="AL25" s="111"/>
      <c r="AM25" s="176" t="s">
        <v>19</v>
      </c>
      <c r="AN25" s="151">
        <f>+AG29</f>
        <v>0</v>
      </c>
      <c r="AO25" s="42"/>
      <c r="AP25" s="417" t="s">
        <v>104</v>
      </c>
      <c r="AQ25" s="418">
        <f>SUM(AQ19:AQ24)</f>
        <v>0</v>
      </c>
      <c r="AR25" s="42"/>
      <c r="AS25" s="42"/>
      <c r="AT25" s="42"/>
      <c r="AU25" s="42"/>
      <c r="AV25" s="42"/>
    </row>
    <row r="26" spans="1:48" ht="15.75" x14ac:dyDescent="0.25">
      <c r="A26" s="565" t="str">
        <f t="shared" si="10"/>
        <v>sábado</v>
      </c>
      <c r="B26" s="609"/>
      <c r="C26" s="610"/>
      <c r="D26" s="611"/>
      <c r="E26" s="611"/>
      <c r="F26" s="611"/>
      <c r="G26" s="611"/>
      <c r="H26" s="611"/>
      <c r="I26" s="611"/>
      <c r="J26" s="612"/>
      <c r="K26" s="572"/>
      <c r="L26" s="572"/>
      <c r="M26" s="555">
        <v>3</v>
      </c>
      <c r="N26" s="156">
        <f>+COUNTIFS($J:$J,"PARTICULAR",$G:$G,"3",$I:$I,"MAÑANA")</f>
        <v>0</v>
      </c>
      <c r="O26" s="156">
        <f>+COUNTIFS($J:$J,"PARTICULAR",$G:$G,"3",$I:$I,"TARDE")</f>
        <v>0</v>
      </c>
      <c r="P26" s="138">
        <f t="shared" si="20"/>
        <v>0</v>
      </c>
      <c r="Q26" s="156">
        <f>+COUNTIFS($J:$J,"PARTICULAR",$G:$G,"3",$I:$I,"NOCHE")</f>
        <v>0</v>
      </c>
      <c r="R26" s="138">
        <f t="shared" si="21"/>
        <v>0</v>
      </c>
      <c r="S26" s="139">
        <f t="shared" si="12"/>
        <v>0</v>
      </c>
      <c r="T26" s="124">
        <v>3</v>
      </c>
      <c r="U26" s="156">
        <f>+COUNTIFS($J:$J,"FACULTAD",$G:$G,"3",$I:$I,"MAÑANA")</f>
        <v>0</v>
      </c>
      <c r="V26" s="156">
        <f>+COUNTIFS($J:$J,"FACULTAD",$G:$G,"3",$I:$I,"TARDE")</f>
        <v>0</v>
      </c>
      <c r="W26" s="138">
        <f t="shared" si="13"/>
        <v>0</v>
      </c>
      <c r="X26" s="156">
        <f>+COUNTIFS($J:$J,"facultad",$G:$G,"3",$I:$I,"noche")</f>
        <v>0</v>
      </c>
      <c r="Y26" s="138">
        <f t="shared" si="14"/>
        <v>0</v>
      </c>
      <c r="Z26" s="138">
        <f t="shared" si="15"/>
        <v>0</v>
      </c>
      <c r="AA26" s="124">
        <v>3</v>
      </c>
      <c r="AB26" s="156">
        <f>+COUNTIFS($J:$J,"convenio",$G:$G,"3",$I:$I,"mañana")</f>
        <v>0</v>
      </c>
      <c r="AC26" s="156">
        <f>+COUNTIFS($J:$J,"convenio",$G:$G,"3",$I:$I,"TARDE")</f>
        <v>0</v>
      </c>
      <c r="AD26" s="154">
        <f t="shared" si="16"/>
        <v>0</v>
      </c>
      <c r="AE26" s="156">
        <f>+COUNTIFS($J:$J,"convenio",$G:$G,"3",$I:$I,"NOCHE")</f>
        <v>0</v>
      </c>
      <c r="AF26" s="156">
        <f t="shared" si="17"/>
        <v>0</v>
      </c>
      <c r="AG26" s="183">
        <f t="shared" si="18"/>
        <v>0</v>
      </c>
      <c r="AH26" s="124">
        <v>3</v>
      </c>
      <c r="AI26" s="156">
        <f>+COUNTIFS($J:$J,"PARTICULAR PAQUETE ",$G:$G,"3")</f>
        <v>0</v>
      </c>
      <c r="AJ26" s="183">
        <f t="shared" si="19"/>
        <v>0</v>
      </c>
      <c r="AK26" s="111"/>
      <c r="AL26" s="111"/>
      <c r="AM26" s="176" t="s">
        <v>50</v>
      </c>
      <c r="AN26" s="151">
        <f>+S37</f>
        <v>0</v>
      </c>
      <c r="AO26" s="114"/>
      <c r="AP26" s="114"/>
      <c r="AQ26" s="114"/>
      <c r="AR26" s="114"/>
      <c r="AS26" s="114"/>
      <c r="AT26" s="114"/>
      <c r="AU26" s="114"/>
      <c r="AV26" s="114"/>
    </row>
    <row r="27" spans="1:48" s="200" customFormat="1" ht="16.5" thickBot="1" x14ac:dyDescent="0.3">
      <c r="A27" s="565" t="str">
        <f t="shared" si="10"/>
        <v>sábado</v>
      </c>
      <c r="B27" s="609"/>
      <c r="C27" s="613"/>
      <c r="D27" s="614"/>
      <c r="E27" s="569"/>
      <c r="F27" s="611"/>
      <c r="G27" s="569"/>
      <c r="H27" s="569"/>
      <c r="I27" s="611"/>
      <c r="J27" s="610"/>
      <c r="K27" s="572"/>
      <c r="L27" s="572"/>
      <c r="M27" s="555">
        <v>3.5</v>
      </c>
      <c r="N27" s="156">
        <f>+COUNTIFS($J:$J,"PARTICULAR",$G:$G,"3,5",$I:$I,"MAÑANA")</f>
        <v>0</v>
      </c>
      <c r="O27" s="156">
        <f>+COUNTIFS($J:$J,"PARTICULAR",$G:$G,"3,5",$I:$I,"TARDE")</f>
        <v>0</v>
      </c>
      <c r="P27" s="138">
        <f t="shared" si="20"/>
        <v>0</v>
      </c>
      <c r="Q27" s="156">
        <f>+COUNTIFS($J:$J,"PARTICULAR",$G:$G,"3,5",$I:$I,"NOCHE")</f>
        <v>0</v>
      </c>
      <c r="R27" s="138">
        <f t="shared" si="21"/>
        <v>0</v>
      </c>
      <c r="S27" s="139">
        <f t="shared" si="12"/>
        <v>0</v>
      </c>
      <c r="T27" s="124">
        <v>3.5</v>
      </c>
      <c r="U27" s="156">
        <f>+COUNTIFS($J:$J,"FACULTAD",$G:$G,"3,5",$I:$I,"MAÑANA")</f>
        <v>0</v>
      </c>
      <c r="V27" s="156">
        <f>+COUNTIFS($J:$J,"FACULTAD",$G:$G,"3,5",$I:$I,"TARDE")</f>
        <v>0</v>
      </c>
      <c r="W27" s="138">
        <f t="shared" si="13"/>
        <v>0</v>
      </c>
      <c r="X27" s="156">
        <f>+COUNTIFS($J:$J,"facultad",$G:$G,"3,5",$I:$I,"noche")</f>
        <v>0</v>
      </c>
      <c r="Y27" s="138">
        <f t="shared" si="14"/>
        <v>0</v>
      </c>
      <c r="Z27" s="138">
        <f t="shared" si="15"/>
        <v>0</v>
      </c>
      <c r="AA27" s="124">
        <v>3.5</v>
      </c>
      <c r="AB27" s="156">
        <f>+COUNTIFS($J:$J,"convenio",$G:$G,"3,5",$I:$I,"mañana")</f>
        <v>0</v>
      </c>
      <c r="AC27" s="156">
        <f>+COUNTIFS($J:$J,"convenio",$G:$G,"3,5",$I:$I,"TARDE")</f>
        <v>0</v>
      </c>
      <c r="AD27" s="154">
        <f t="shared" si="16"/>
        <v>0</v>
      </c>
      <c r="AE27" s="156">
        <f>+COUNTIFS($J:$J,"convenio",$G:$G,"3,5",$I:$I,"NOCHE")</f>
        <v>0</v>
      </c>
      <c r="AF27" s="156">
        <f t="shared" si="17"/>
        <v>0</v>
      </c>
      <c r="AG27" s="183">
        <f t="shared" si="18"/>
        <v>0</v>
      </c>
      <c r="AH27" s="124">
        <v>3.5</v>
      </c>
      <c r="AI27" s="156">
        <f>+COUNTIFS($J:$J,"PARTICULAR PAQUETE ",$G:$G,"3,5")</f>
        <v>0</v>
      </c>
      <c r="AJ27" s="183">
        <f t="shared" si="19"/>
        <v>0</v>
      </c>
      <c r="AK27" s="111"/>
      <c r="AL27" s="111"/>
      <c r="AM27" s="176" t="s">
        <v>61</v>
      </c>
      <c r="AN27" s="151">
        <f>+Z37</f>
        <v>0</v>
      </c>
      <c r="AO27" s="114"/>
      <c r="AP27" s="114"/>
      <c r="AQ27" s="114"/>
      <c r="AR27" s="114"/>
      <c r="AS27" s="114"/>
      <c r="AT27" s="114"/>
      <c r="AU27" s="114"/>
      <c r="AV27" s="114"/>
    </row>
    <row r="28" spans="1:48" s="200" customFormat="1" ht="16.5" thickBot="1" x14ac:dyDescent="0.3">
      <c r="A28" s="565" t="str">
        <f t="shared" si="10"/>
        <v>sábado</v>
      </c>
      <c r="B28" s="615"/>
      <c r="C28" s="616"/>
      <c r="D28" s="617"/>
      <c r="E28" s="617"/>
      <c r="F28" s="617"/>
      <c r="G28" s="617"/>
      <c r="H28" s="617"/>
      <c r="I28" s="617"/>
      <c r="J28" s="616"/>
      <c r="K28" s="572"/>
      <c r="L28" s="572"/>
      <c r="M28" s="555">
        <v>4</v>
      </c>
      <c r="N28" s="156">
        <f>+COUNTIFS($J:$J,"PARTICULAR",$G:$G,"4",$I:$I,"MAÑANA")</f>
        <v>0</v>
      </c>
      <c r="O28" s="156">
        <f>+COUNTIFS($J:$J,"PARTICULAR",$G:$G,"4",$I:$I,"TARDE")</f>
        <v>0</v>
      </c>
      <c r="P28" s="138">
        <f t="shared" si="20"/>
        <v>0</v>
      </c>
      <c r="Q28" s="156">
        <f>+COUNTIFS($J:$J,"PARTICULAR",$G:$G,"4",$I:$I,"NOCHE")</f>
        <v>0</v>
      </c>
      <c r="R28" s="138">
        <f>+Q28*M28*$Q$19</f>
        <v>0</v>
      </c>
      <c r="S28" s="139">
        <f t="shared" si="12"/>
        <v>0</v>
      </c>
      <c r="T28" s="124">
        <v>4</v>
      </c>
      <c r="U28" s="156">
        <f>+COUNTIFS($J:$J,"FACULTAD",$G:$G,"4",$I:$I,"MAÑANA")</f>
        <v>0</v>
      </c>
      <c r="V28" s="156">
        <f>+COUNTIFS($J:$J,"FACULTAD",$G:$G,"4",$I:$I,"TARDE")</f>
        <v>0</v>
      </c>
      <c r="W28" s="138">
        <f t="shared" si="13"/>
        <v>0</v>
      </c>
      <c r="X28" s="156">
        <f>+COUNTIFS($J:$J,"facultad",$G:$G,"84",$I:$I,"noche")</f>
        <v>0</v>
      </c>
      <c r="Y28" s="138">
        <f t="shared" si="14"/>
        <v>0</v>
      </c>
      <c r="Z28" s="138">
        <f t="shared" si="15"/>
        <v>0</v>
      </c>
      <c r="AA28" s="124">
        <v>4</v>
      </c>
      <c r="AB28" s="207">
        <f>+COUNTIFS($J:$J,"convenio",$G:$G,"4",$I:$I,"mañana")</f>
        <v>0</v>
      </c>
      <c r="AC28" s="207">
        <f>+COUNTIFS($J:$J,"convenio",$G:$G,"4",$I:$I,"TARDE")</f>
        <v>0</v>
      </c>
      <c r="AD28" s="154">
        <f t="shared" si="16"/>
        <v>0</v>
      </c>
      <c r="AE28" s="207">
        <f>+COUNTIFS($J:$J,"convenio",$G:$G,"4",$I:$I,"NOCHE")</f>
        <v>0</v>
      </c>
      <c r="AF28" s="207">
        <f t="shared" si="17"/>
        <v>0</v>
      </c>
      <c r="AG28" s="183">
        <f t="shared" si="18"/>
        <v>0</v>
      </c>
      <c r="AH28" s="124">
        <v>4</v>
      </c>
      <c r="AI28" s="156">
        <f>+COUNTIFS($J:$J,"PARTICULAR PAQUETE ",$G:$G,"4")</f>
        <v>0</v>
      </c>
      <c r="AJ28" s="183">
        <f t="shared" si="19"/>
        <v>0</v>
      </c>
      <c r="AK28" s="111"/>
      <c r="AL28" s="111"/>
      <c r="AM28" s="380" t="s">
        <v>103</v>
      </c>
      <c r="AN28" s="381">
        <f>SUM(AN19:AN27)</f>
        <v>0</v>
      </c>
      <c r="AO28" s="116"/>
      <c r="AP28" s="116"/>
      <c r="AQ28" s="116"/>
      <c r="AR28" s="116"/>
      <c r="AS28" s="116"/>
      <c r="AT28" s="116"/>
      <c r="AU28" s="116"/>
      <c r="AV28" s="116"/>
    </row>
    <row r="29" spans="1:48" ht="16.5" thickBot="1" x14ac:dyDescent="0.3">
      <c r="A29" s="565" t="str">
        <f t="shared" si="10"/>
        <v>sábado</v>
      </c>
      <c r="B29" s="615"/>
      <c r="C29" s="616"/>
      <c r="D29" s="617"/>
      <c r="E29" s="617"/>
      <c r="F29" s="617"/>
      <c r="G29" s="618"/>
      <c r="H29" s="617"/>
      <c r="I29" s="617"/>
      <c r="J29" s="619"/>
      <c r="K29" s="573"/>
      <c r="L29" s="572"/>
      <c r="M29" s="166" t="s">
        <v>38</v>
      </c>
      <c r="N29" s="153"/>
      <c r="O29" s="153"/>
      <c r="P29" s="153">
        <f>SUM(P21:P28)</f>
        <v>0</v>
      </c>
      <c r="Q29" s="153"/>
      <c r="R29" s="153">
        <f>SUM(R21:R28)</f>
        <v>0</v>
      </c>
      <c r="S29" s="419">
        <f t="shared" si="12"/>
        <v>0</v>
      </c>
      <c r="T29" s="223"/>
      <c r="U29" s="153"/>
      <c r="V29" s="153"/>
      <c r="W29" s="153"/>
      <c r="X29" s="153"/>
      <c r="Y29" s="153" t="s">
        <v>46</v>
      </c>
      <c r="Z29" s="142">
        <f>SUM(Z21:Z28)</f>
        <v>0</v>
      </c>
      <c r="AA29" s="224" t="s">
        <v>48</v>
      </c>
      <c r="AB29" s="225"/>
      <c r="AC29" s="225"/>
      <c r="AD29" s="225"/>
      <c r="AE29" s="225"/>
      <c r="AF29" s="225"/>
      <c r="AG29" s="226">
        <f>SUM(AG21:AG28)</f>
        <v>0</v>
      </c>
      <c r="AH29" s="224" t="s">
        <v>63</v>
      </c>
      <c r="AI29" s="225"/>
      <c r="AJ29" s="226">
        <f>SUM(AJ21:AJ28)</f>
        <v>0</v>
      </c>
      <c r="AK29" s="111"/>
      <c r="AL29" s="111"/>
      <c r="AM29" s="111"/>
      <c r="AN29" s="111"/>
      <c r="AO29" s="116"/>
      <c r="AP29" s="116"/>
      <c r="AQ29" s="116"/>
      <c r="AR29" s="116"/>
      <c r="AS29" s="116"/>
      <c r="AT29" s="116"/>
      <c r="AU29" s="116"/>
      <c r="AV29" s="116"/>
    </row>
    <row r="30" spans="1:48" s="200" customFormat="1" ht="16.5" thickBot="1" x14ac:dyDescent="0.3">
      <c r="A30" s="565" t="str">
        <f t="shared" si="10"/>
        <v>sábado</v>
      </c>
      <c r="B30" s="620"/>
      <c r="C30" s="621"/>
      <c r="D30" s="622"/>
      <c r="E30" s="622"/>
      <c r="F30" s="622"/>
      <c r="G30" s="622"/>
      <c r="H30" s="622"/>
      <c r="I30" s="622"/>
      <c r="J30" s="623"/>
      <c r="K30" s="572"/>
      <c r="L30" s="572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8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</row>
    <row r="31" spans="1:48" s="200" customFormat="1" ht="16.5" thickBot="1" x14ac:dyDescent="0.3">
      <c r="A31" s="565" t="str">
        <f t="shared" si="10"/>
        <v>sábado</v>
      </c>
      <c r="B31" s="620"/>
      <c r="C31" s="624"/>
      <c r="D31" s="622"/>
      <c r="E31" s="622"/>
      <c r="F31" s="622"/>
      <c r="G31" s="622"/>
      <c r="H31" s="622"/>
      <c r="I31" s="622"/>
      <c r="J31" s="623"/>
      <c r="K31" s="572"/>
      <c r="L31" s="572"/>
      <c r="M31" s="660" t="s">
        <v>50</v>
      </c>
      <c r="N31" s="660"/>
      <c r="O31" s="660"/>
      <c r="P31" s="660"/>
      <c r="Q31" s="660"/>
      <c r="R31" s="660"/>
      <c r="S31" s="661"/>
      <c r="T31" s="684" t="s">
        <v>61</v>
      </c>
      <c r="U31" s="685"/>
      <c r="V31" s="685"/>
      <c r="W31" s="685"/>
      <c r="X31" s="685"/>
      <c r="Y31" s="685"/>
      <c r="Z31" s="686"/>
      <c r="AA31" s="43"/>
      <c r="AB31" s="678" t="s">
        <v>20</v>
      </c>
      <c r="AC31" s="683"/>
      <c r="AD31" s="89"/>
      <c r="AE31" s="678" t="s">
        <v>212</v>
      </c>
      <c r="AF31" s="679"/>
      <c r="AG31" s="679"/>
      <c r="AH31" s="679"/>
      <c r="AI31" s="661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</row>
    <row r="32" spans="1:48" s="200" customFormat="1" ht="16.5" thickBot="1" x14ac:dyDescent="0.3">
      <c r="A32" s="565" t="str">
        <f t="shared" si="10"/>
        <v>sábado</v>
      </c>
      <c r="B32" s="620"/>
      <c r="C32" s="624"/>
      <c r="D32" s="622"/>
      <c r="E32" s="622"/>
      <c r="F32" s="622"/>
      <c r="G32" s="622"/>
      <c r="H32" s="622"/>
      <c r="I32" s="622"/>
      <c r="J32" s="624"/>
      <c r="K32" s="572"/>
      <c r="L32" s="572"/>
      <c r="M32" s="556"/>
      <c r="N32" s="131">
        <v>8700</v>
      </c>
      <c r="O32" s="185">
        <v>8700</v>
      </c>
      <c r="P32" s="185"/>
      <c r="Q32" s="185">
        <v>8700</v>
      </c>
      <c r="R32" s="185"/>
      <c r="S32" s="186"/>
      <c r="T32" s="134"/>
      <c r="U32" s="131">
        <v>8700</v>
      </c>
      <c r="V32" s="185">
        <v>8700</v>
      </c>
      <c r="W32" s="185"/>
      <c r="X32" s="185">
        <v>8700</v>
      </c>
      <c r="Y32" s="185"/>
      <c r="Z32" s="186"/>
      <c r="AA32" s="43"/>
      <c r="AB32" s="239" t="s">
        <v>5</v>
      </c>
      <c r="AC32" s="190">
        <v>39150</v>
      </c>
      <c r="AD32" s="111"/>
      <c r="AE32" s="387"/>
      <c r="AF32" s="391">
        <v>40000</v>
      </c>
      <c r="AG32" s="387"/>
      <c r="AH32" s="392">
        <v>55700</v>
      </c>
      <c r="AI32" s="190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</row>
    <row r="33" spans="1:49" s="200" customFormat="1" ht="16.5" thickBot="1" x14ac:dyDescent="0.3">
      <c r="A33" s="565" t="str">
        <f t="shared" si="10"/>
        <v>sábado</v>
      </c>
      <c r="B33" s="620"/>
      <c r="C33" s="572"/>
      <c r="D33" s="582"/>
      <c r="E33" s="564"/>
      <c r="F33" s="309"/>
      <c r="G33" s="309"/>
      <c r="H33" s="309"/>
      <c r="I33" s="622"/>
      <c r="J33" s="586"/>
      <c r="K33" s="573"/>
      <c r="L33" s="572"/>
      <c r="M33" s="188" t="s">
        <v>22</v>
      </c>
      <c r="N33" s="188" t="s">
        <v>16</v>
      </c>
      <c r="O33" s="188" t="s">
        <v>17</v>
      </c>
      <c r="P33" s="189"/>
      <c r="Q33" s="188" t="s">
        <v>15</v>
      </c>
      <c r="R33" s="189"/>
      <c r="S33" s="194" t="s">
        <v>28</v>
      </c>
      <c r="T33" s="187" t="s">
        <v>22</v>
      </c>
      <c r="U33" s="188" t="s">
        <v>16</v>
      </c>
      <c r="V33" s="188" t="s">
        <v>17</v>
      </c>
      <c r="W33" s="189"/>
      <c r="X33" s="188" t="s">
        <v>15</v>
      </c>
      <c r="Y33" s="189"/>
      <c r="Z33" s="194" t="s">
        <v>28</v>
      </c>
      <c r="AA33" s="43"/>
      <c r="AB33" s="240">
        <v>4.5</v>
      </c>
      <c r="AC33" s="125">
        <f>+COUNTIFS($J:$J,"PARTICULAR MENSUALIDAD",$G:$G,"4,5")</f>
        <v>0</v>
      </c>
      <c r="AD33" s="111"/>
      <c r="AE33" s="385"/>
      <c r="AF33" s="384" t="s">
        <v>216</v>
      </c>
      <c r="AG33" s="383"/>
      <c r="AH33" s="386" t="s">
        <v>12</v>
      </c>
      <c r="AI33" s="389" t="s">
        <v>9</v>
      </c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</row>
    <row r="34" spans="1:49" ht="16.5" thickBot="1" x14ac:dyDescent="0.3">
      <c r="A34" s="565" t="str">
        <f t="shared" si="10"/>
        <v>sábado</v>
      </c>
      <c r="B34" s="620"/>
      <c r="C34" s="624"/>
      <c r="D34" s="622"/>
      <c r="E34" s="622"/>
      <c r="F34" s="622"/>
      <c r="G34" s="622"/>
      <c r="H34" s="622"/>
      <c r="I34" s="622"/>
      <c r="J34" s="623"/>
      <c r="K34" s="572"/>
      <c r="L34" s="572"/>
      <c r="M34" s="555">
        <v>1</v>
      </c>
      <c r="N34" s="156">
        <f>+COUNTIFS($J:$J,"PARTICULAR cortesia",$G:$G,"1",$I:$I,"mañana")</f>
        <v>0</v>
      </c>
      <c r="O34" s="156">
        <f>+COUNTIFS($J:$J,"PARTICULAR cortesia",$G:$G,"1",$I:$I,"tarde")</f>
        <v>0</v>
      </c>
      <c r="P34" s="189">
        <f>+(N34+O34)*$O$32*M34</f>
        <v>0</v>
      </c>
      <c r="Q34" s="156">
        <f>+COUNTIFS($J:$J,"PARTICULAR cortesia",$G:$G,"1",$I:$I,"noche")</f>
        <v>0</v>
      </c>
      <c r="R34" s="189">
        <f>+Q34*$Q$32</f>
        <v>0</v>
      </c>
      <c r="S34" s="190">
        <f>+R34+P34</f>
        <v>0</v>
      </c>
      <c r="T34" s="124">
        <v>1</v>
      </c>
      <c r="U34" s="156">
        <f>+COUNTIFS($J:$J,"bono",$G:$G,"1",$I:$I,"mañana")</f>
        <v>0</v>
      </c>
      <c r="V34" s="156">
        <f>+COUNTIFS($J:$J,"bono",$G:$G,"1",$I:$I,"tarde")</f>
        <v>0</v>
      </c>
      <c r="W34" s="189">
        <f>+(V34+U34)*$V$32*T34</f>
        <v>0</v>
      </c>
      <c r="X34" s="156">
        <f>+COUNTIFS($J:$J,"bono",$G:$G,"1",$I:$I,"noche")</f>
        <v>0</v>
      </c>
      <c r="Y34" s="189">
        <f>+X34*$X$32</f>
        <v>0</v>
      </c>
      <c r="Z34" s="190">
        <f>+Y34+W34</f>
        <v>0</v>
      </c>
      <c r="AB34" s="241" t="s">
        <v>9</v>
      </c>
      <c r="AC34" s="242">
        <f>+AC33*AC32</f>
        <v>0</v>
      </c>
      <c r="AD34" s="111"/>
      <c r="AE34" s="387">
        <f>+COUNTIFS($J:$J,"ADULTO_MAYOR",$G:$G,"1",$K:$K,"Adulto Activo gym o campus")</f>
        <v>0</v>
      </c>
      <c r="AF34" s="388">
        <f>+$AF$32*AE34</f>
        <v>0</v>
      </c>
      <c r="AG34" s="388">
        <f>+COUNTIFS($J:$J,"ADULTO_MAYOR",$G:$G,"1",$K:$K,"Adulto particular")</f>
        <v>0</v>
      </c>
      <c r="AH34" s="396">
        <f>+AG34*$AH$32</f>
        <v>0</v>
      </c>
      <c r="AI34" s="390">
        <f>+AH34+AF34</f>
        <v>0</v>
      </c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</row>
    <row r="35" spans="1:49" ht="15.75" x14ac:dyDescent="0.25">
      <c r="A35" s="565" t="str">
        <f t="shared" si="10"/>
        <v>sábado</v>
      </c>
      <c r="B35" s="620"/>
      <c r="C35" s="621"/>
      <c r="D35" s="625"/>
      <c r="E35" s="625"/>
      <c r="F35" s="625"/>
      <c r="G35" s="625"/>
      <c r="H35" s="625"/>
      <c r="I35" s="625"/>
      <c r="J35" s="626"/>
      <c r="K35" s="572"/>
      <c r="L35" s="572"/>
      <c r="M35" s="557">
        <v>2</v>
      </c>
      <c r="N35" s="156">
        <f>+COUNTIFS($J:$J,"PARTICULAR cortesia",$G:$G,"2",$I:$I,"mañana")</f>
        <v>0</v>
      </c>
      <c r="O35" s="156">
        <f>+COUNTIFS($J:$J,"PARTICULAR cortesia",$G:$G,"2",$I:$I,"tarde")</f>
        <v>0</v>
      </c>
      <c r="P35" s="189">
        <f t="shared" ref="P35:P36" si="22">+(N35+O35)*$O$32*M35</f>
        <v>0</v>
      </c>
      <c r="Q35" s="156">
        <f>+COUNTIFS($J:$J,"PARTICULAR cortesia",$G:$G,"2",$I:$I,"noche")</f>
        <v>0</v>
      </c>
      <c r="R35" s="189">
        <f>+Q35*$Q$32</f>
        <v>0</v>
      </c>
      <c r="S35" s="190">
        <f>+R35+P35</f>
        <v>0</v>
      </c>
      <c r="T35" s="191">
        <v>2</v>
      </c>
      <c r="U35" s="156">
        <f>+COUNTIFS($J:$J,"bono",$G:$G,"2",$I:$I,"mañana")</f>
        <v>0</v>
      </c>
      <c r="V35" s="156">
        <f>+COUNTIFS($J:$J,"bono",$G:$G,"2",$I:$I,"tarde")</f>
        <v>0</v>
      </c>
      <c r="W35" s="189">
        <f t="shared" ref="W35:W36" si="23">+(V35+U35)*$V$32*T35</f>
        <v>0</v>
      </c>
      <c r="X35" s="156">
        <f>+COUNTIFS($J:$J,"bono",$G:$G,"2",$I:$I,"noche")</f>
        <v>0</v>
      </c>
      <c r="Y35" s="189">
        <f t="shared" ref="Y35:Y36" si="24">+X35*$X$32</f>
        <v>0</v>
      </c>
      <c r="Z35" s="190">
        <f t="shared" ref="Z35:Z36" si="25">+Y35+W35</f>
        <v>0</v>
      </c>
    </row>
    <row r="36" spans="1:49" ht="16.5" thickBot="1" x14ac:dyDescent="0.3">
      <c r="A36" s="565" t="str">
        <f t="shared" si="10"/>
        <v>sábado</v>
      </c>
      <c r="B36" s="620"/>
      <c r="C36" s="621"/>
      <c r="D36" s="625"/>
      <c r="E36" s="625"/>
      <c r="F36" s="625"/>
      <c r="G36" s="625"/>
      <c r="H36" s="625"/>
      <c r="I36" s="625"/>
      <c r="J36" s="626"/>
      <c r="K36" s="572"/>
      <c r="L36" s="572"/>
      <c r="M36" s="136">
        <v>3</v>
      </c>
      <c r="N36" s="136">
        <f>+COUNTIFS($J:$J,"PARTICULAR cortesia",$G:$G,"3",$I:$I,"mañana")</f>
        <v>0</v>
      </c>
      <c r="O36" s="136">
        <f>+COUNTIFS($J:$J,"PARTICULAR cortesia",$G:$G,"3",$I:$I,"tarde")</f>
        <v>0</v>
      </c>
      <c r="P36" s="193">
        <f t="shared" si="22"/>
        <v>0</v>
      </c>
      <c r="Q36" s="136">
        <f>+COUNTIFS($J:$J,"PARTICULAR cortesia",$G:$G,"3",$I:$I,"noche")</f>
        <v>0</v>
      </c>
      <c r="R36" s="193">
        <f>+Q36*$Q$32</f>
        <v>0</v>
      </c>
      <c r="S36" s="190">
        <f>+R36+P36</f>
        <v>0</v>
      </c>
      <c r="T36" s="192">
        <v>3</v>
      </c>
      <c r="U36" s="136">
        <f>+COUNTIFS($J:$J,"bono",$G:$G,"3",$I:$I,"mañana")</f>
        <v>0</v>
      </c>
      <c r="V36" s="136">
        <f>+COUNTIFS($J:$J,"bono",$G:$G,"3",$I:$I,"tarde")</f>
        <v>0</v>
      </c>
      <c r="W36" s="193">
        <f t="shared" si="23"/>
        <v>0</v>
      </c>
      <c r="X36" s="136">
        <f>+COUNTIFS($J:$J,"bono",$G:$G,"3",$I:$I,"noche")</f>
        <v>0</v>
      </c>
      <c r="Y36" s="193">
        <f t="shared" si="24"/>
        <v>0</v>
      </c>
      <c r="Z36" s="196">
        <f t="shared" si="25"/>
        <v>0</v>
      </c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</row>
    <row r="37" spans="1:49" s="200" customFormat="1" ht="16.5" thickBot="1" x14ac:dyDescent="0.3">
      <c r="A37" s="565" t="str">
        <f t="shared" si="10"/>
        <v>sábado</v>
      </c>
      <c r="B37" s="620"/>
      <c r="C37" s="621"/>
      <c r="D37" s="625"/>
      <c r="E37" s="625"/>
      <c r="F37" s="625"/>
      <c r="G37" s="625"/>
      <c r="H37" s="625"/>
      <c r="I37" s="625"/>
      <c r="J37" s="626"/>
      <c r="K37" s="572"/>
      <c r="L37" s="572"/>
      <c r="M37" s="42"/>
      <c r="N37" s="156"/>
      <c r="O37" s="156"/>
      <c r="P37" s="111"/>
      <c r="Q37" s="156"/>
      <c r="R37" s="195" t="s">
        <v>52</v>
      </c>
      <c r="S37" s="195">
        <f>SUM(S34:S36)</f>
        <v>0</v>
      </c>
      <c r="T37" s="42"/>
      <c r="U37" s="42"/>
      <c r="V37" s="42"/>
      <c r="W37" s="42"/>
      <c r="X37" s="42"/>
      <c r="Y37" s="195" t="s">
        <v>51</v>
      </c>
      <c r="Z37" s="195">
        <f>SUM(Z34:Z36)</f>
        <v>0</v>
      </c>
      <c r="AA37" s="43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</row>
    <row r="38" spans="1:49" ht="16.5" thickBot="1" x14ac:dyDescent="0.3">
      <c r="A38" s="565" t="str">
        <f t="shared" si="10"/>
        <v>sábado</v>
      </c>
      <c r="B38" s="627"/>
      <c r="C38" s="621"/>
      <c r="D38" s="622"/>
      <c r="E38" s="622"/>
      <c r="F38" s="622"/>
      <c r="G38" s="622"/>
      <c r="H38" s="622"/>
      <c r="I38" s="622"/>
      <c r="J38" s="623"/>
      <c r="K38" s="572"/>
      <c r="L38" s="572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</row>
    <row r="39" spans="1:49" ht="16.5" thickBot="1" x14ac:dyDescent="0.3">
      <c r="A39" s="565" t="str">
        <f t="shared" si="10"/>
        <v>sábado</v>
      </c>
      <c r="B39" s="627"/>
      <c r="C39" s="563"/>
      <c r="D39" s="309"/>
      <c r="E39" s="309"/>
      <c r="F39" s="309"/>
      <c r="G39" s="309"/>
      <c r="H39" s="309"/>
      <c r="I39" s="309"/>
      <c r="J39" s="563"/>
      <c r="K39" s="572"/>
      <c r="L39" s="572"/>
      <c r="M39" s="87"/>
      <c r="N39" s="87"/>
      <c r="O39" s="87"/>
      <c r="P39" s="87"/>
      <c r="Q39" s="680" t="s">
        <v>115</v>
      </c>
      <c r="R39" s="681"/>
      <c r="S39" s="681"/>
      <c r="T39" s="681"/>
      <c r="U39" s="681"/>
      <c r="V39" s="681"/>
      <c r="W39" s="681"/>
      <c r="X39" s="681"/>
      <c r="Y39" s="681"/>
      <c r="Z39" s="681"/>
      <c r="AA39" s="681"/>
      <c r="AB39" s="681"/>
      <c r="AC39" s="682"/>
      <c r="AD39" s="118"/>
      <c r="AE39" s="118"/>
      <c r="AF39" s="118"/>
      <c r="AG39" s="655" t="s">
        <v>149</v>
      </c>
      <c r="AH39" s="656"/>
      <c r="AI39" s="656"/>
      <c r="AJ39" s="656"/>
      <c r="AK39" s="656"/>
      <c r="AL39" s="656"/>
      <c r="AM39" s="656"/>
      <c r="AN39" s="656"/>
      <c r="AO39" s="656"/>
      <c r="AP39" s="656"/>
      <c r="AQ39" s="656"/>
      <c r="AR39" s="656"/>
      <c r="AS39" s="657"/>
      <c r="AT39" s="118"/>
      <c r="AU39" s="87"/>
      <c r="AV39" s="89"/>
      <c r="AW39" s="89"/>
    </row>
    <row r="40" spans="1:49" s="200" customFormat="1" ht="16.5" thickBot="1" x14ac:dyDescent="0.3">
      <c r="A40" s="565" t="str">
        <f t="shared" si="10"/>
        <v>sábado</v>
      </c>
      <c r="B40" s="627"/>
      <c r="C40" s="563"/>
      <c r="D40" s="309"/>
      <c r="E40" s="309"/>
      <c r="F40" s="309"/>
      <c r="G40" s="309"/>
      <c r="H40" s="309"/>
      <c r="I40" s="309"/>
      <c r="J40" s="594"/>
      <c r="K40" s="572"/>
      <c r="L40" s="572"/>
      <c r="M40" s="675" t="s">
        <v>114</v>
      </c>
      <c r="N40" s="645"/>
      <c r="O40" s="646"/>
      <c r="P40" s="87"/>
      <c r="Q40" s="253"/>
      <c r="R40" s="653" t="s">
        <v>105</v>
      </c>
      <c r="S40" s="654"/>
      <c r="T40" s="653" t="s">
        <v>106</v>
      </c>
      <c r="U40" s="654"/>
      <c r="V40" s="653" t="s">
        <v>111</v>
      </c>
      <c r="W40" s="654"/>
      <c r="X40" s="653" t="s">
        <v>107</v>
      </c>
      <c r="Y40" s="654"/>
      <c r="Z40" s="653" t="s">
        <v>108</v>
      </c>
      <c r="AA40" s="654"/>
      <c r="AB40" s="653" t="s">
        <v>112</v>
      </c>
      <c r="AC40" s="654"/>
      <c r="AD40" s="199"/>
      <c r="AE40" s="199"/>
      <c r="AF40" s="199"/>
      <c r="AG40" s="253"/>
      <c r="AH40" s="653" t="s">
        <v>105</v>
      </c>
      <c r="AI40" s="654"/>
      <c r="AJ40" s="653" t="s">
        <v>106</v>
      </c>
      <c r="AK40" s="654"/>
      <c r="AL40" s="653" t="s">
        <v>111</v>
      </c>
      <c r="AM40" s="654"/>
      <c r="AN40" s="653" t="s">
        <v>107</v>
      </c>
      <c r="AO40" s="654"/>
      <c r="AP40" s="653" t="s">
        <v>108</v>
      </c>
      <c r="AQ40" s="654"/>
      <c r="AR40" s="653" t="s">
        <v>112</v>
      </c>
      <c r="AS40" s="654"/>
      <c r="AT40" s="87"/>
      <c r="AU40" s="87"/>
      <c r="AV40" s="89"/>
      <c r="AW40" s="89"/>
    </row>
    <row r="41" spans="1:49" s="200" customFormat="1" ht="15.75" x14ac:dyDescent="0.25">
      <c r="A41" s="565" t="str">
        <f t="shared" si="10"/>
        <v>sábado</v>
      </c>
      <c r="B41" s="627"/>
      <c r="C41" s="563"/>
      <c r="D41" s="309"/>
      <c r="E41" s="309"/>
      <c r="F41" s="309"/>
      <c r="G41" s="309"/>
      <c r="H41" s="309"/>
      <c r="I41" s="309"/>
      <c r="J41" s="563"/>
      <c r="K41" s="572"/>
      <c r="L41" s="572"/>
      <c r="M41" s="558" t="s">
        <v>113</v>
      </c>
      <c r="N41" s="261" t="s">
        <v>109</v>
      </c>
      <c r="O41" s="262" t="s">
        <v>110</v>
      </c>
      <c r="P41" s="87"/>
      <c r="Q41" s="263" t="s">
        <v>120</v>
      </c>
      <c r="R41" s="264" t="s">
        <v>109</v>
      </c>
      <c r="S41" s="265" t="s">
        <v>117</v>
      </c>
      <c r="T41" s="264" t="s">
        <v>109</v>
      </c>
      <c r="U41" s="265" t="s">
        <v>117</v>
      </c>
      <c r="V41" s="264" t="s">
        <v>109</v>
      </c>
      <c r="W41" s="265" t="s">
        <v>117</v>
      </c>
      <c r="X41" s="266" t="s">
        <v>109</v>
      </c>
      <c r="Y41" s="267" t="s">
        <v>117</v>
      </c>
      <c r="Z41" s="264" t="s">
        <v>109</v>
      </c>
      <c r="AA41" s="265" t="s">
        <v>117</v>
      </c>
      <c r="AB41" s="266" t="s">
        <v>109</v>
      </c>
      <c r="AC41" s="267" t="s">
        <v>117</v>
      </c>
      <c r="AD41" s="280" t="s">
        <v>150</v>
      </c>
      <c r="AE41" s="281" t="s">
        <v>151</v>
      </c>
      <c r="AF41" s="199"/>
      <c r="AG41" s="263" t="s">
        <v>120</v>
      </c>
      <c r="AH41" s="264" t="s">
        <v>109</v>
      </c>
      <c r="AI41" s="265" t="s">
        <v>117</v>
      </c>
      <c r="AJ41" s="264" t="s">
        <v>109</v>
      </c>
      <c r="AK41" s="265" t="s">
        <v>117</v>
      </c>
      <c r="AL41" s="264" t="s">
        <v>109</v>
      </c>
      <c r="AM41" s="265" t="s">
        <v>117</v>
      </c>
      <c r="AN41" s="266" t="s">
        <v>109</v>
      </c>
      <c r="AO41" s="267" t="s">
        <v>117</v>
      </c>
      <c r="AP41" s="264" t="s">
        <v>109</v>
      </c>
      <c r="AQ41" s="265" t="s">
        <v>117</v>
      </c>
      <c r="AR41" s="266" t="s">
        <v>109</v>
      </c>
      <c r="AS41" s="265" t="s">
        <v>117</v>
      </c>
      <c r="AT41" s="280" t="s">
        <v>150</v>
      </c>
      <c r="AU41" s="281" t="s">
        <v>151</v>
      </c>
      <c r="AV41" s="89"/>
      <c r="AW41" s="89"/>
    </row>
    <row r="42" spans="1:49" s="200" customFormat="1" x14ac:dyDescent="0.2">
      <c r="A42" s="565" t="str">
        <f t="shared" si="10"/>
        <v>sábado</v>
      </c>
      <c r="B42" s="627"/>
      <c r="C42" s="563"/>
      <c r="D42" s="309"/>
      <c r="E42" s="309"/>
      <c r="F42" s="309"/>
      <c r="G42" s="309"/>
      <c r="H42" s="309"/>
      <c r="I42" s="309"/>
      <c r="J42" s="563"/>
      <c r="K42" s="563"/>
      <c r="L42" s="563"/>
      <c r="M42" s="558" t="s">
        <v>105</v>
      </c>
      <c r="N42" s="246">
        <f>+COUNTIF(A:A,"lunes")</f>
        <v>0</v>
      </c>
      <c r="O42" s="248">
        <f>+SUMIF(A:A,"lunes",H:H)</f>
        <v>0</v>
      </c>
      <c r="P42" s="87"/>
      <c r="Q42" s="254" t="s">
        <v>78</v>
      </c>
      <c r="R42" s="408">
        <f>+COUNTIFS($J:$J,"estudiante_ucm",$K:$K,"Adm. Turística",$A:$A,"lunes")</f>
        <v>0</v>
      </c>
      <c r="S42" s="310">
        <f>+SUMIFS($H:$H,$J:$J,"estudiante_ucm",$K:$K,"Adm. Turística",$A:$A,"lunes")</f>
        <v>0</v>
      </c>
      <c r="T42" s="408">
        <f>+COUNTIFS($J:$J,"estudiante_ucm",$K:$K,"Adm. Turística",$A:$A,"martes")</f>
        <v>0</v>
      </c>
      <c r="U42" s="310">
        <f>+SUMIFS($H:$H,$J:$J,"estudiante_ucm",$K:$K,"Adm. Turística",$A:$A,"martes")</f>
        <v>0</v>
      </c>
      <c r="V42" s="408">
        <f>+COUNTIFS($J:$J,"estudiante_ucm",$K:$K,"Adm. Turística",$A:$A,"Miércoles")</f>
        <v>0</v>
      </c>
      <c r="W42" s="310">
        <f>+SUMIFS($H:$H,$J:$J,"estudiante_ucm",$K:$K,"Adm. Turística",$A:$A,"Miércoles")</f>
        <v>0</v>
      </c>
      <c r="X42" s="474">
        <f>+COUNTIFS($J:$J,"estudiante_ucm",$K:$K,"Adm. Turística",$A:$A,"Jueves")</f>
        <v>0</v>
      </c>
      <c r="Y42" s="475">
        <f>+SUMIFS($H:$H,$J:$J,"estudiante_ucm",$K:$K,"Adm. Turística",$A:$A,"Jueves")</f>
        <v>0</v>
      </c>
      <c r="Z42" s="408">
        <f>+COUNTIFS($J:$J,"estudiante_ucm",$K:$K,"Adm. Turística",$A:$A,"viernes")</f>
        <v>0</v>
      </c>
      <c r="AA42" s="310">
        <f>+SUMIFS($H:$H,$J:$J,"estudiante_ucm",$K:$K,"Adm. Turística",$A:$A,"viernes")</f>
        <v>0</v>
      </c>
      <c r="AB42" s="474">
        <f>+COUNTIFS($J:$J,"estudiante_ucm",$K:$K,"Adm. Turística",$A:$A,"Sábado")</f>
        <v>0</v>
      </c>
      <c r="AC42" s="475">
        <f>+SUMIFS($H:$H,$J:$J,"estudiante_ucm",$K:$K,"Adm. Turística",$A:$A,"Sábado")</f>
        <v>0</v>
      </c>
      <c r="AD42" s="476">
        <f>+R42+T42+V42+X42+Z42+AB42</f>
        <v>0</v>
      </c>
      <c r="AE42" s="477">
        <f>+S42+U42+W42+Y42+AA42+AC42</f>
        <v>0</v>
      </c>
      <c r="AF42" s="199"/>
      <c r="AG42" s="254" t="s">
        <v>78</v>
      </c>
      <c r="AH42" s="247">
        <f>+COUNTIFS($J:$J,"egresado_ucm",$K:$K,"Adm. Turística",$A:$A,"lunes")</f>
        <v>0</v>
      </c>
      <c r="AI42" s="248">
        <f>+SUMIFS($H:$H,$J:$J,"egresado_ucm",$K:$K,"Adm. Turística",$A:$A,"lunes")</f>
        <v>0</v>
      </c>
      <c r="AJ42" s="247">
        <f>+COUNTIFS($J:$J,"egresado_ucm",$K:$K,"Adm. Turística",$A:$A,"martes")</f>
        <v>0</v>
      </c>
      <c r="AK42" s="248">
        <f>+SUMIFS($H:$H,$J:$J,"egresado_ucm",$K:$K,"Adm. Turística",$A:$A,"martes")</f>
        <v>0</v>
      </c>
      <c r="AL42" s="247">
        <f>+COUNTIFS($J:$J,"egresado_ucm",$K:$K,"Adm. Turística",$A:$A,"Miércoles")</f>
        <v>0</v>
      </c>
      <c r="AM42" s="248">
        <f>+SUMIFS($H:$H,$J:$J,"egresado_ucm",$K:$K,"Adm. Turística",$A:$A,"Miércoles")</f>
        <v>0</v>
      </c>
      <c r="AN42" s="255">
        <f>+COUNTIFS($J:$J,"egresado_ucm",$K:$K,"Adm. Turística",$A:$A,"Jueves")</f>
        <v>0</v>
      </c>
      <c r="AO42" s="258">
        <f>+SUMIFS($H:$H,$J:$J,"egresado_ucm",$K:$K,"Adm. Turística",$A:$A,"Jueves")</f>
        <v>0</v>
      </c>
      <c r="AP42" s="247">
        <f>+COUNTIFS($J:$J,"egresado_ucm",$K:$K,"Adm. Turística",$A:$A,"viernes")</f>
        <v>0</v>
      </c>
      <c r="AQ42" s="248">
        <f>+SUMIFS($H:$H,$J:$J,"egresado_ucm",$K:$K,"Adm. Turística",$A:$A,"viernes")</f>
        <v>0</v>
      </c>
      <c r="AR42" s="255">
        <f>+COUNTIFS($J:$J,"egresado_ucm",$K:$K,"Adm. Turística",$A:$A,"Sábado")</f>
        <v>0</v>
      </c>
      <c r="AS42" s="248">
        <f>+SUMIFS($H:$H,$J:$J,"egresado_ucm",$K:$K,"Adm. Turística",$A:$A,"Sábado")</f>
        <v>0</v>
      </c>
      <c r="AT42" s="257">
        <f>+AH42+AJ42+AL42+AN42+AP42+AR42</f>
        <v>0</v>
      </c>
      <c r="AU42" s="252">
        <f>+AI42+AK42+AM42+AO42+AQ42+AS42</f>
        <v>0</v>
      </c>
      <c r="AV42" s="89"/>
      <c r="AW42" s="89"/>
    </row>
    <row r="43" spans="1:49" s="200" customFormat="1" x14ac:dyDescent="0.2">
      <c r="A43" s="565" t="str">
        <f t="shared" si="10"/>
        <v>sábado</v>
      </c>
      <c r="B43" s="627"/>
      <c r="C43" s="563"/>
      <c r="D43" s="309"/>
      <c r="E43" s="309"/>
      <c r="F43" s="309"/>
      <c r="G43" s="309"/>
      <c r="H43" s="309"/>
      <c r="I43" s="309"/>
      <c r="J43" s="594"/>
      <c r="K43" s="563"/>
      <c r="L43" s="563"/>
      <c r="M43" s="558" t="s">
        <v>106</v>
      </c>
      <c r="N43" s="246">
        <f>+COUNTIF(A:A,"Martes")</f>
        <v>0</v>
      </c>
      <c r="O43" s="248">
        <f>+SUMIF(A:A,"martes",H:H)</f>
        <v>0</v>
      </c>
      <c r="P43" s="87"/>
      <c r="Q43" s="254" t="s">
        <v>79</v>
      </c>
      <c r="R43" s="408">
        <f>+COUNTIFS($J:$J,"estudiante_ucm",$K:$K,"Arquitectura",$A:$A,"lunes")</f>
        <v>0</v>
      </c>
      <c r="S43" s="310">
        <f>+SUMIFS($H:$H,$J:$J,"estudiante_ucm",$K:$K,"arquitectura",$A:$A,"lunes")</f>
        <v>0</v>
      </c>
      <c r="T43" s="408">
        <f>+COUNTIFS($J:$J,"estudiante_ucm",$K:$K,"Arquitectura",$A:$A,"martes")</f>
        <v>0</v>
      </c>
      <c r="U43" s="310">
        <f>+SUMIFS($H:$H,$J:$J,"estudiante_ucm",$K:$K,"arquitectura",$A:$A,"Martes")</f>
        <v>0</v>
      </c>
      <c r="V43" s="408">
        <f>+COUNTIFS($J:$J,"estudiante_ucm",$K:$K,"Arquitectura",$A:$A,"Miércoles")</f>
        <v>0</v>
      </c>
      <c r="W43" s="310">
        <f>+SUMIFS($H:$H,$J:$J,"estudiante_ucm",$K:$K,"arquitectura",$A:$A,"Miércoles")</f>
        <v>0</v>
      </c>
      <c r="X43" s="474">
        <f>+COUNTIFS($J:$J,"estudiante_ucm",$K:$K,"Arquitectura",$A:$A,"Jueves")</f>
        <v>0</v>
      </c>
      <c r="Y43" s="475">
        <f>+SUMIFS($H:$H,$J:$J,"estudiante_ucm",$K:$K,"arquitectura",$A:$A,"Jueves")</f>
        <v>0</v>
      </c>
      <c r="Z43" s="408">
        <f>+COUNTIFS($J:$J,"estudiante_ucm",$K:$K,"Arquitectura",$A:$A,"viernes")</f>
        <v>0</v>
      </c>
      <c r="AA43" s="310">
        <f>+SUMIFS($H:$H,$J:$J,"estudiante_ucm",$K:$K,"arquitectura",$A:$A,"viernes")</f>
        <v>0</v>
      </c>
      <c r="AB43" s="474">
        <f>+COUNTIFS($J:$J,"estudiante_ucm",$K:$K,"Arquitectura",$A:$A,"Sábado")</f>
        <v>0</v>
      </c>
      <c r="AC43" s="475">
        <f>+SUMIFS($H:$H,$J:$J,"estudiante_ucm",$K:$K,"arquitectura",$A:$A,"Sábado")</f>
        <v>0</v>
      </c>
      <c r="AD43" s="476">
        <f t="shared" ref="AD43:AE51" si="26">+R43+T43+V43+X43+Z43+AB43</f>
        <v>0</v>
      </c>
      <c r="AE43" s="477">
        <f t="shared" si="26"/>
        <v>0</v>
      </c>
      <c r="AF43" s="199"/>
      <c r="AG43" s="254" t="s">
        <v>79</v>
      </c>
      <c r="AH43" s="247">
        <f>+COUNTIFS($J:$J,"egresado_ucm",$K:$K,"Arquitectura",$A:$A,"lunes")</f>
        <v>0</v>
      </c>
      <c r="AI43" s="248">
        <f>+SUMIFS($H:$H,$J:$J,"egresado_ucm",$K:$K,"arquitectura",$A:$A,"lunes")</f>
        <v>0</v>
      </c>
      <c r="AJ43" s="247">
        <f>+COUNTIFS($J:$J,"egresado_ucm",$K:$K,"Arquitectura",$A:$A,"martes")</f>
        <v>0</v>
      </c>
      <c r="AK43" s="248">
        <f>+SUMIFS($H:$H,$J:$J,"egresado_ucm",$K:$K,"arquitectura",$A:$A,"Martes")</f>
        <v>0</v>
      </c>
      <c r="AL43" s="247">
        <f>+COUNTIFS($J:$J,"egresado_ucm",$K:$K,"Arquitectura",$A:$A,"Miércoles")</f>
        <v>0</v>
      </c>
      <c r="AM43" s="248">
        <f>+SUMIFS($H:$H,$J:$J,"egresado_ucm",$K:$K,"arquitectura",$A:$A,"Miércoles")</f>
        <v>0</v>
      </c>
      <c r="AN43" s="255">
        <f>+COUNTIFS($J:$J,"egresado_ucm",$K:$K,"Arquitectura",$A:$A,"Jueves")</f>
        <v>0</v>
      </c>
      <c r="AO43" s="258">
        <f>+SUMIFS($H:$H,$J:$J,"egresado_ucm",$K:$K,"arquitectura",$A:$A,"Jueves")</f>
        <v>0</v>
      </c>
      <c r="AP43" s="247">
        <f>+COUNTIFS($J:$J,"egresado_ucm",$K:$K,"Arquitectura",$A:$A,"viernes")</f>
        <v>0</v>
      </c>
      <c r="AQ43" s="248">
        <f>+SUMIFS($H:$H,$J:$J,"egresado_ucm",$K:$K,"arquitectura",$A:$A,"viernes")</f>
        <v>0</v>
      </c>
      <c r="AR43" s="255">
        <f>+COUNTIFS($J:$J,"egresado_ucm",$K:$K,"Arquitectura",$A:$A,"Sábado")</f>
        <v>0</v>
      </c>
      <c r="AS43" s="248">
        <f>+SUMIFS($H:$H,$J:$J,"egresado_ucm",$K:$K,"arquitectura",$A:$A,"Sábado")</f>
        <v>0</v>
      </c>
      <c r="AT43" s="257">
        <f t="shared" ref="AT43:AU51" si="27">+AH43+AJ43+AL43+AN43+AP43+AR43</f>
        <v>0</v>
      </c>
      <c r="AU43" s="252">
        <f t="shared" si="27"/>
        <v>0</v>
      </c>
      <c r="AV43" s="89"/>
      <c r="AW43" s="89"/>
    </row>
    <row r="44" spans="1:49" ht="15.75" x14ac:dyDescent="0.25">
      <c r="A44" s="565" t="str">
        <f t="shared" si="10"/>
        <v>sábado</v>
      </c>
      <c r="B44" s="627"/>
      <c r="C44" s="563"/>
      <c r="D44" s="309"/>
      <c r="E44" s="309"/>
      <c r="F44" s="309"/>
      <c r="G44" s="309"/>
      <c r="H44" s="309"/>
      <c r="I44" s="309"/>
      <c r="J44" s="563"/>
      <c r="K44" s="572"/>
      <c r="L44" s="572"/>
      <c r="M44" s="558" t="s">
        <v>111</v>
      </c>
      <c r="N44" s="246">
        <f>+COUNTIF(A:A,"miércoles")</f>
        <v>0</v>
      </c>
      <c r="O44" s="248">
        <f>+SUMIF(A:A,"miércoles",H:H)</f>
        <v>0</v>
      </c>
      <c r="P44" s="87"/>
      <c r="Q44" s="254" t="s">
        <v>80</v>
      </c>
      <c r="R44" s="408">
        <f>+COUNTIFS($J:$J,"estudiante_ucm",$K:$K,"bacteriología",$A:$A,"lunes")</f>
        <v>0</v>
      </c>
      <c r="S44" s="310">
        <f>+SUMIFS($H:$H,$J:$J,"estudiante_ucm",$K:$K,"bacteriología",$A:$A,"lunes")</f>
        <v>0</v>
      </c>
      <c r="T44" s="408">
        <f>+COUNTIFS($J:$J,"estudiante_ucm",$K:$K,"bacteriología",$A:$A,"martes")</f>
        <v>0</v>
      </c>
      <c r="U44" s="310">
        <f>+SUMIFS($H:$H,$J:$J,"estudiante_ucm",$K:$K,"bacteriología",$A:$A,"Martes")</f>
        <v>0</v>
      </c>
      <c r="V44" s="408">
        <f>+COUNTIFS($J:$J,"estudiante_ucm",$K:$K,"bacteriología",$A:$A,"Miércoles")</f>
        <v>0</v>
      </c>
      <c r="W44" s="310">
        <f>+SUMIFS($H:$H,$J:$J,"estudiante_ucm",$K:$K,"bacteriología",$A:$A,"Miércoles")</f>
        <v>0</v>
      </c>
      <c r="X44" s="474">
        <f>+COUNTIFS($J:$J,"estudiante_ucm",$K:$K,"bacteriología",$A:$A,"Jueves")</f>
        <v>0</v>
      </c>
      <c r="Y44" s="475">
        <f>+SUMIFS($H:$H,$J:$J,"estudiante_ucm",$K:$K,"bacteriología",$A:$A,"Jueves")</f>
        <v>0</v>
      </c>
      <c r="Z44" s="408">
        <f>+COUNTIFS($J:$J,"estudiante_ucm",$K:$K,"bacteriología",$A:$A,"viernes")</f>
        <v>0</v>
      </c>
      <c r="AA44" s="310">
        <f>+SUMIFS($H:$H,$J:$J,"estudiante_ucm",$K:$K,"bacteriología",$A:$A,"viernes")</f>
        <v>0</v>
      </c>
      <c r="AB44" s="474">
        <f>+COUNTIFS($J:$J,"estudiante_ucm",$K:$K,"bacteriología",$A:$A,"Sábado")</f>
        <v>0</v>
      </c>
      <c r="AC44" s="475">
        <f>+SUMIFS($H:$H,$J:$J,"estudiante_ucm",$K:$K,"bacteriología",$A:$A,"Sábado")</f>
        <v>0</v>
      </c>
      <c r="AD44" s="476">
        <f t="shared" si="26"/>
        <v>0</v>
      </c>
      <c r="AE44" s="477">
        <f t="shared" si="26"/>
        <v>0</v>
      </c>
      <c r="AF44" s="118"/>
      <c r="AG44" s="254" t="s">
        <v>80</v>
      </c>
      <c r="AH44" s="247">
        <f>+COUNTIFS($J:$J,"egresado_ucm",$K:$K,"bacteriología",$A:$A,"lunes")</f>
        <v>0</v>
      </c>
      <c r="AI44" s="248">
        <f>+SUMIFS($H:$H,$J:$J,"egresado_ucm",$K:$K,"bacteriología",$A:$A,"lunes")</f>
        <v>0</v>
      </c>
      <c r="AJ44" s="247">
        <f>+COUNTIFS($J:$J,"egresado_ucm",$K:$K,"bacteriología",$A:$A,"martes")</f>
        <v>0</v>
      </c>
      <c r="AK44" s="248">
        <f>+SUMIFS($H:$H,$J:$J,"egresado_ucm",$K:$K,"bacteriología",$A:$A,"Martes")</f>
        <v>0</v>
      </c>
      <c r="AL44" s="247">
        <f>+COUNTIFS($J:$J,"egresado_ucm",$K:$K,"bacteriología",$A:$A,"Miércoles")</f>
        <v>0</v>
      </c>
      <c r="AM44" s="248">
        <f>+SUMIFS($H:$H,$J:$J,"egresado_ucm",$K:$K,"bacteriología",$A:$A,"Miércoles")</f>
        <v>0</v>
      </c>
      <c r="AN44" s="255">
        <f>+COUNTIFS($J:$J,"egresado_ucm",$K:$K,"bacteriología",$A:$A,"Jueves")</f>
        <v>0</v>
      </c>
      <c r="AO44" s="258">
        <f>+SUMIFS($H:$H,$J:$J,"egresado_ucm",$K:$K,"bacteriología",$A:$A,"Jueves")</f>
        <v>0</v>
      </c>
      <c r="AP44" s="247">
        <f>+COUNTIFS($J:$J,"egresado_ucm",$K:$K,"bacteriología",$A:$A,"viernes")</f>
        <v>0</v>
      </c>
      <c r="AQ44" s="248">
        <f>+SUMIFS($H:$H,$J:$J,"egresado_ucm",$K:$K,"bacteriología",$A:$A,"viernes")</f>
        <v>0</v>
      </c>
      <c r="AR44" s="255">
        <f>+COUNTIFS($J:$J,"egresado_ucm",$K:$K,"bacteriología",$A:$A,"Sábado")</f>
        <v>0</v>
      </c>
      <c r="AS44" s="248">
        <f>+SUMIFS($H:$H,$J:$J,"egresado_ucm",$K:$K,"bacteriología",$A:$A,"Sábado")</f>
        <v>0</v>
      </c>
      <c r="AT44" s="257">
        <f t="shared" si="27"/>
        <v>0</v>
      </c>
      <c r="AU44" s="252">
        <f t="shared" si="27"/>
        <v>0</v>
      </c>
      <c r="AV44" s="89"/>
      <c r="AW44" s="89"/>
    </row>
    <row r="45" spans="1:49" s="200" customFormat="1" ht="15" x14ac:dyDescent="0.25">
      <c r="A45" s="565" t="str">
        <f t="shared" si="10"/>
        <v>sábado</v>
      </c>
      <c r="B45" s="627"/>
      <c r="C45" s="563"/>
      <c r="D45" s="309"/>
      <c r="E45" s="309"/>
      <c r="F45" s="309"/>
      <c r="G45" s="309"/>
      <c r="H45" s="309"/>
      <c r="I45" s="309"/>
      <c r="J45" s="594"/>
      <c r="K45" s="628"/>
      <c r="L45" s="563"/>
      <c r="M45" s="558" t="s">
        <v>107</v>
      </c>
      <c r="N45" s="246">
        <f>+COUNTIF(A:A,"jueves")</f>
        <v>0</v>
      </c>
      <c r="O45" s="248">
        <f>+SUMIF(A:A,"Jueves",H:H)</f>
        <v>0</v>
      </c>
      <c r="P45" s="87"/>
      <c r="Q45" s="254" t="s">
        <v>81</v>
      </c>
      <c r="R45" s="408">
        <f>+COUNTIFS($J:$J,"estudiante_ucm",$K:$K,"enfermería",$A:$A,"lunes")</f>
        <v>0</v>
      </c>
      <c r="S45" s="310">
        <f>+SUMIFS($H:$H,$J:$J,"estudiante_ucm",$K:$K,"enfermería",$A:$A,"lunes")</f>
        <v>0</v>
      </c>
      <c r="T45" s="408">
        <f>+COUNTIFS($J:$J,"estudiante_ucm",$K:$K,"enfermería",$A:$A,"martes")</f>
        <v>0</v>
      </c>
      <c r="U45" s="310">
        <f>+SUMIFS($H:$H,$J:$J,"estudiante_ucm",$K:$K,"enfermería",$A:$A,"Martes")</f>
        <v>0</v>
      </c>
      <c r="V45" s="408">
        <f>+COUNTIFS($J:$J,"estudiante_ucm",$K:$K,"enfermería",$A:$A,"Miércoles")</f>
        <v>0</v>
      </c>
      <c r="W45" s="310">
        <f>+SUMIFS($H:$H,$J:$J,"estudiante_ucm",$K:$K,"enfermería",$A:$A,"Miércoles")</f>
        <v>0</v>
      </c>
      <c r="X45" s="474">
        <f>+COUNTIFS($J:$J,"estudiante_ucm",$K:$K,"enfermería",$A:$A,"Jueves")</f>
        <v>0</v>
      </c>
      <c r="Y45" s="475">
        <f>+SUMIFS($H:$H,$J:$J,"estudiante_ucm",$K:$K,"enfermería",$A:$A,"Jueves")</f>
        <v>0</v>
      </c>
      <c r="Z45" s="408">
        <f>+COUNTIFS($J:$J,"estudiante_ucm",$K:$K,"enfermería",$A:$A,"viernes")</f>
        <v>0</v>
      </c>
      <c r="AA45" s="310">
        <f>+SUMIFS($H:$H,$J:$J,"estudiante_ucm",$K:$K,"enfermería",$A:$A,"viernes")</f>
        <v>0</v>
      </c>
      <c r="AB45" s="474">
        <f>+COUNTIFS($J:$J,"estudiante_ucm",$K:$K,"enfermería",$A:$A,"Sábado")</f>
        <v>0</v>
      </c>
      <c r="AC45" s="475">
        <f>+SUMIFS($H:$H,$J:$J,"estudiante_ucm",$K:$K,"enfermería",$A:$A,"Sábado")</f>
        <v>0</v>
      </c>
      <c r="AD45" s="476">
        <f t="shared" si="26"/>
        <v>0</v>
      </c>
      <c r="AE45" s="477">
        <f t="shared" si="26"/>
        <v>0</v>
      </c>
      <c r="AF45" s="118"/>
      <c r="AG45" s="254" t="s">
        <v>81</v>
      </c>
      <c r="AH45" s="247">
        <f>+COUNTIFS($J:$J,"egresado_ucm",$K:$K,"enfermería",$A:$A,"lunes")</f>
        <v>0</v>
      </c>
      <c r="AI45" s="248">
        <f>+SUMIFS($H:$H,$J:$J,"egresado_ucm",$K:$K,"enfermería",$A:$A,"lunes")</f>
        <v>0</v>
      </c>
      <c r="AJ45" s="247">
        <f>+COUNTIFS($J:$J,"egresado_ucm",$K:$K,"enfermería",$A:$A,"martes")</f>
        <v>0</v>
      </c>
      <c r="AK45" s="248">
        <f>+SUMIFS($H:$H,$J:$J,"egresado_ucm",$K:$K,"enfermería",$A:$A,"Martes")</f>
        <v>0</v>
      </c>
      <c r="AL45" s="247">
        <f>+COUNTIFS($J:$J,"egresado_ucm",$K:$K,"enfermería",$A:$A,"Miércoles")</f>
        <v>0</v>
      </c>
      <c r="AM45" s="248">
        <f>+SUMIFS($H:$H,$J:$J,"egresado_ucm",$K:$K,"enfermería",$A:$A,"Miércoles")</f>
        <v>0</v>
      </c>
      <c r="AN45" s="255">
        <f>+COUNTIFS($J:$J,"egresado_ucm",$K:$K,"enfermería",$A:$A,"Jueves")</f>
        <v>0</v>
      </c>
      <c r="AO45" s="258">
        <f>+SUMIFS($H:$H,$J:$J,"egresado_ucm",$K:$K,"enfermería",$A:$A,"Jueves")</f>
        <v>0</v>
      </c>
      <c r="AP45" s="247">
        <f>+COUNTIFS($J:$J,"egresado_ucm",$K:$K,"enfermería",$A:$A,"viernes")</f>
        <v>0</v>
      </c>
      <c r="AQ45" s="248">
        <f>+SUMIFS($H:$H,$J:$J,"egresado_ucm",$K:$K,"enfermería",$A:$A,"viernes")</f>
        <v>0</v>
      </c>
      <c r="AR45" s="255">
        <f>+COUNTIFS($J:$J,"egresado_ucm",$K:$K,"enfermería",$A:$A,"Sábado")</f>
        <v>0</v>
      </c>
      <c r="AS45" s="248">
        <f>+SUMIFS($H:$H,$J:$J,"egresado_ucm",$K:$K,"enfermería",$A:$A,"Sábado")</f>
        <v>0</v>
      </c>
      <c r="AT45" s="257">
        <f t="shared" si="27"/>
        <v>0</v>
      </c>
      <c r="AU45" s="252">
        <f t="shared" si="27"/>
        <v>0</v>
      </c>
      <c r="AV45" s="89"/>
      <c r="AW45" s="89"/>
    </row>
    <row r="46" spans="1:49" s="200" customFormat="1" ht="15" x14ac:dyDescent="0.25">
      <c r="A46" s="565" t="str">
        <f t="shared" si="10"/>
        <v>sábado</v>
      </c>
      <c r="B46" s="627"/>
      <c r="C46" s="563"/>
      <c r="D46" s="309"/>
      <c r="E46" s="309"/>
      <c r="F46" s="309"/>
      <c r="G46" s="309"/>
      <c r="H46" s="309"/>
      <c r="I46" s="309"/>
      <c r="J46" s="594"/>
      <c r="K46" s="628"/>
      <c r="L46" s="563"/>
      <c r="M46" s="558" t="s">
        <v>108</v>
      </c>
      <c r="N46" s="246">
        <f>+COUNTIF(A:A,"Viernes")</f>
        <v>0</v>
      </c>
      <c r="O46" s="248">
        <f>+SUMIF(A:A,"Viernes",H:H)</f>
        <v>0</v>
      </c>
      <c r="P46" s="87"/>
      <c r="Q46" s="254" t="s">
        <v>82</v>
      </c>
      <c r="R46" s="408">
        <f>+COUNTIFS($J:$J,"estudiante_ucm",$K:$K,"ing. industrial",$A:$A,"lunes")</f>
        <v>0</v>
      </c>
      <c r="S46" s="310">
        <f>+SUMIFS($H:$H,$J:$J,"estudiante_ucm",$K:$K,"ing. industrial",$A:$A,"lunes")</f>
        <v>0</v>
      </c>
      <c r="T46" s="408">
        <f>+COUNTIFS($J:$J,"estudiante_ucm",$K:$K,"ing. industrial",$A:$A,"martes")</f>
        <v>0</v>
      </c>
      <c r="U46" s="310">
        <f>+SUMIFS($H:$H,$J:$J,"estudiante_ucm",$K:$K,"ing. industrial",$A:$A,"Martes")</f>
        <v>0</v>
      </c>
      <c r="V46" s="408">
        <f>+COUNTIFS($J:$J,"estudiante_ucm",$K:$K,"ing. industrial",$A:$A,"Miércoles")</f>
        <v>0</v>
      </c>
      <c r="W46" s="310">
        <f>+SUMIFS($H:$H,$J:$J,"estudiante_ucm",$K:$K,"ing. industrial",$A:$A,"Miércoles")</f>
        <v>0</v>
      </c>
      <c r="X46" s="474">
        <f>+COUNTIFS($J:$J,"estudiante_ucm",$K:$K,"ing. industrial",$A:$A,"Jueves")</f>
        <v>0</v>
      </c>
      <c r="Y46" s="475">
        <f>+SUMIFS($H:$H,$J:$J,"estudiante_ucm",$K:$K,"ing. industrial",$A:$A,"Jueves")</f>
        <v>0</v>
      </c>
      <c r="Z46" s="408">
        <f>+COUNTIFS($J:$J,"estudiante_ucm",$K:$K,"ing. industrial",$A:$A,"viernes")</f>
        <v>0</v>
      </c>
      <c r="AA46" s="310">
        <f>+SUMIFS($H:$H,$J:$J,"estudiante_ucm",$K:$K,"ing. industrial",$A:$A,"viernes")</f>
        <v>0</v>
      </c>
      <c r="AB46" s="474">
        <f>+COUNTIFS($J:$J,"estudiante_ucm",$K:$K,"ing. industrial",$A:$A,"Sábado")</f>
        <v>0</v>
      </c>
      <c r="AC46" s="475">
        <f>+SUMIFS($H:$H,$J:$J,"estudiante_ucm",$K:$K,"ing. industrial",$A:$A,"Sábado")</f>
        <v>0</v>
      </c>
      <c r="AD46" s="476">
        <f t="shared" si="26"/>
        <v>0</v>
      </c>
      <c r="AE46" s="477">
        <f t="shared" si="26"/>
        <v>0</v>
      </c>
      <c r="AF46" s="118"/>
      <c r="AG46" s="254" t="s">
        <v>82</v>
      </c>
      <c r="AH46" s="247">
        <f>+COUNTIFS($J:$J,"egresado_ucm",$K:$K,"ing. industrial",$A:$A,"lunes")</f>
        <v>0</v>
      </c>
      <c r="AI46" s="248">
        <f>+SUMIFS($H:$H,$J:$J,"egresado_ucm",$K:$K,"ing. industrial",$A:$A,"lunes")</f>
        <v>0</v>
      </c>
      <c r="AJ46" s="247">
        <f>+COUNTIFS($J:$J,"egresado_ucm",$K:$K,"ing. industrial",$A:$A,"martes")</f>
        <v>0</v>
      </c>
      <c r="AK46" s="248">
        <f>+SUMIFS($H:$H,$J:$J,"egresado_ucm",$K:$K,"ing. industrial",$A:$A,"Martes")</f>
        <v>0</v>
      </c>
      <c r="AL46" s="247">
        <f>+COUNTIFS($J:$J,"egresado_ucm",$K:$K,"ing. industrial",$A:$A,"Miércoles")</f>
        <v>0</v>
      </c>
      <c r="AM46" s="248">
        <f>+SUMIFS($H:$H,$J:$J,"egresado_ucm",$K:$K,"ing. industrial",$A:$A,"Miércoles")</f>
        <v>0</v>
      </c>
      <c r="AN46" s="255">
        <f>+COUNTIFS($J:$J,"egresado_ucm",$K:$K,"ing. industrial",$A:$A,"Jueves")</f>
        <v>0</v>
      </c>
      <c r="AO46" s="258">
        <f>+SUMIFS($H:$H,$J:$J,"egresado_ucm",$K:$K,"ing. industrial",$A:$A,"Jueves")</f>
        <v>0</v>
      </c>
      <c r="AP46" s="247">
        <f>+COUNTIFS($J:$J,"egresado_ucm",$K:$K,"ing. industrial",$A:$A,"viernes")</f>
        <v>0</v>
      </c>
      <c r="AQ46" s="248">
        <f>+SUMIFS($H:$H,$J:$J,"egresado_ucm",$K:$K,"ing. industrial",$A:$A,"viernes")</f>
        <v>0</v>
      </c>
      <c r="AR46" s="255">
        <f>+COUNTIFS($J:$J,"egresado_ucm",$K:$K,"ing. industrial",$A:$A,"Sábado")</f>
        <v>0</v>
      </c>
      <c r="AS46" s="248">
        <f>+SUMIFS($H:$H,$J:$J,"egresado_ucm",$K:$K,"ing. industrial",$A:$A,"Sábado")</f>
        <v>0</v>
      </c>
      <c r="AT46" s="257">
        <f t="shared" si="27"/>
        <v>0</v>
      </c>
      <c r="AU46" s="252">
        <f t="shared" si="27"/>
        <v>0</v>
      </c>
      <c r="AV46" s="89"/>
      <c r="AW46" s="89"/>
    </row>
    <row r="47" spans="1:49" s="200" customFormat="1" ht="16.5" thickBot="1" x14ac:dyDescent="0.3">
      <c r="A47" s="565" t="str">
        <f t="shared" si="10"/>
        <v>sábado</v>
      </c>
      <c r="B47" s="627"/>
      <c r="C47" s="563"/>
      <c r="D47" s="309"/>
      <c r="E47" s="309"/>
      <c r="F47" s="309"/>
      <c r="G47" s="309"/>
      <c r="H47" s="309"/>
      <c r="I47" s="309"/>
      <c r="J47" s="594"/>
      <c r="K47" s="572"/>
      <c r="L47" s="563"/>
      <c r="M47" s="559" t="s">
        <v>112</v>
      </c>
      <c r="N47" s="275">
        <f>+COUNTIF(A:A,"Sábado")</f>
        <v>184</v>
      </c>
      <c r="O47" s="273">
        <f>+SUMIF(A:A,"Sábado",H:H)</f>
        <v>0</v>
      </c>
      <c r="P47" s="87"/>
      <c r="Q47" s="254" t="s">
        <v>116</v>
      </c>
      <c r="R47" s="408">
        <f>+COUNTIFS($J:$J,"estudiante_ucm",$K:$K,"ing. ambiental",$A:$A,"lunes")</f>
        <v>0</v>
      </c>
      <c r="S47" s="310">
        <f>+SUMIFS($H:$H,$J:$J,"estudiante_ucm",$K:$K,"ing. ambiental",$A:$A,"lunes")</f>
        <v>0</v>
      </c>
      <c r="T47" s="408">
        <f>+COUNTIFS($J:$J,"estudiante_ucm",$K:$K,"ing. ambiental",$A:$A,"martes")</f>
        <v>0</v>
      </c>
      <c r="U47" s="310">
        <f>+SUMIFS($H:$H,$J:$J,"estudiante_ucm",$K:$K,"ing. ambiental",$A:$A,"Martes")</f>
        <v>0</v>
      </c>
      <c r="V47" s="408">
        <f>+COUNTIFS($J:$J,"estudiante_ucm",$K:$K,"ing. ambiental",$A:$A,"Miércoles")</f>
        <v>0</v>
      </c>
      <c r="W47" s="310">
        <f>+SUMIFS($H:$H,$J:$J,"estudiante_ucm",$K:$K,"ing. ambiental",$A:$A,"Miércoles")</f>
        <v>0</v>
      </c>
      <c r="X47" s="474">
        <f>+COUNTIFS($J:$J,"estudiante_ucm",$K:$K,"ing. ambiental",$A:$A,"Jueves")</f>
        <v>0</v>
      </c>
      <c r="Y47" s="475">
        <f>+SUMIFS($H:$H,$J:$J,"estudiante_ucm",$K:$K,"ing. ambiental",$A:$A,"Jueves")</f>
        <v>0</v>
      </c>
      <c r="Z47" s="408">
        <f>+COUNTIFS($J:$J,"estudiante_ucm",$K:$K,"ing. ambiental",$A:$A,"viernes")</f>
        <v>0</v>
      </c>
      <c r="AA47" s="310">
        <f>+SUMIFS($H:$H,$J:$J,"estudiante_ucm",$K:$K,"ing. ambiental",$A:$A,"viernes")</f>
        <v>0</v>
      </c>
      <c r="AB47" s="474">
        <f>+COUNTIFS($J:$J,"estudiante_ucm",$K:$K,"ing. ambiental",$A:$A,"Sábado")</f>
        <v>0</v>
      </c>
      <c r="AC47" s="475">
        <f>+SUMIFS($H:$H,$J:$J,"estudiante_ucm",$K:$K,"ing. ambiental",$A:$A,"Sábado")</f>
        <v>0</v>
      </c>
      <c r="AD47" s="476">
        <f t="shared" si="26"/>
        <v>0</v>
      </c>
      <c r="AE47" s="477">
        <f t="shared" si="26"/>
        <v>0</v>
      </c>
      <c r="AF47" s="118"/>
      <c r="AG47" s="254" t="s">
        <v>116</v>
      </c>
      <c r="AH47" s="247">
        <f>+COUNTIFS($J:$J,"egresado_ucm",$K:$K,"ing. ambiental",$A:$A,"lunes")</f>
        <v>0</v>
      </c>
      <c r="AI47" s="248">
        <f>+SUMIFS($H:$H,$J:$J,"egresado_ucm",$K:$K,"ing. ambiental",$A:$A,"lunes")</f>
        <v>0</v>
      </c>
      <c r="AJ47" s="247">
        <f>+COUNTIFS($J:$J,"egresado_ucm",$K:$K,"ing. ambiental",$A:$A,"martes")</f>
        <v>0</v>
      </c>
      <c r="AK47" s="248">
        <f>+SUMIFS($H:$H,$J:$J,"egresado_ucm",$K:$K,"ing. ambiental",$A:$A,"Martes")</f>
        <v>0</v>
      </c>
      <c r="AL47" s="247">
        <f>+COUNTIFS($J:$J,"egresado_ucm",$K:$K,"ing. ambiental",$A:$A,"Miércoles")</f>
        <v>0</v>
      </c>
      <c r="AM47" s="248">
        <f>+SUMIFS($H:$H,$J:$J,"egresado_ucm",$K:$K,"ing. ambiental",$A:$A,"Miércoles")</f>
        <v>0</v>
      </c>
      <c r="AN47" s="255">
        <f>+COUNTIFS($J:$J,"egresado_ucm",$K:$K,"ing. ambiental",$A:$A,"Jueves")</f>
        <v>0</v>
      </c>
      <c r="AO47" s="258">
        <f>+SUMIFS($H:$H,$J:$J,"egresado_ucm",$K:$K,"ing. ambiental",$A:$A,"Jueves")</f>
        <v>0</v>
      </c>
      <c r="AP47" s="247">
        <f>+COUNTIFS($J:$J,"egresado_ucm",$K:$K,"ing. ambiental",$A:$A,"viernes")</f>
        <v>0</v>
      </c>
      <c r="AQ47" s="248">
        <f>+SUMIFS($H:$H,$J:$J,"egresado_ucm",$K:$K,"ing. ambiental",$A:$A,"viernes")</f>
        <v>0</v>
      </c>
      <c r="AR47" s="255">
        <f>+COUNTIFS($J:$J,"egresado_ucm",$K:$K,"ing. ambiental",$A:$A,"Sábado")</f>
        <v>0</v>
      </c>
      <c r="AS47" s="248">
        <f>+SUMIFS($H:$H,$J:$J,"egresado_ucm",$K:$K,"ing. ambiental",$A:$A,"Sábado")</f>
        <v>0</v>
      </c>
      <c r="AT47" s="257">
        <f t="shared" si="27"/>
        <v>0</v>
      </c>
      <c r="AU47" s="252">
        <f t="shared" si="27"/>
        <v>0</v>
      </c>
      <c r="AV47" s="89"/>
      <c r="AW47" s="89"/>
    </row>
    <row r="48" spans="1:49" ht="14.45" customHeight="1" thickBot="1" x14ac:dyDescent="0.25">
      <c r="A48" s="565" t="str">
        <f t="shared" si="10"/>
        <v>sábado</v>
      </c>
      <c r="B48" s="627"/>
      <c r="C48" s="563"/>
      <c r="D48" s="309"/>
      <c r="E48" s="309"/>
      <c r="F48" s="309"/>
      <c r="G48" s="309"/>
      <c r="H48" s="309"/>
      <c r="I48" s="309"/>
      <c r="J48" s="594"/>
      <c r="K48" s="563"/>
      <c r="L48" s="563"/>
      <c r="M48" s="560" t="s">
        <v>9</v>
      </c>
      <c r="N48" s="234">
        <f>SUM(N42:N47)</f>
        <v>184</v>
      </c>
      <c r="O48" s="277">
        <f>SUM(O42:O47)</f>
        <v>0</v>
      </c>
      <c r="P48" s="87"/>
      <c r="Q48" s="254" t="s">
        <v>83</v>
      </c>
      <c r="R48" s="408">
        <f>+COUNTIFS($J:$J,"estudiante_ucm",$K:$K,"ing. telecomunicaciones",$A:$A,"lunes")</f>
        <v>0</v>
      </c>
      <c r="S48" s="310">
        <f>+SUMIFS($H:$H,$J:$J,"estudiante_ucm",$K:$K,"ing. telecomunicaciones",$A:$A,"lunes")</f>
        <v>0</v>
      </c>
      <c r="T48" s="408">
        <f>+COUNTIFS($J:$J,"estudiante_ucm",$K:$K,"ing. telecomunicaciones",$A:$A,"martes")</f>
        <v>0</v>
      </c>
      <c r="U48" s="310">
        <f>+SUMIFS($H:$H,$J:$J,"estudiante_ucm",$K:$K,"ing. telecomunicaciones",$A:$A,"Martes")</f>
        <v>0</v>
      </c>
      <c r="V48" s="408">
        <f>+COUNTIFS($J:$J,"estudiante_ucm",$K:$K,"ing. telecomunicaciones",$A:$A,"Miércoles")</f>
        <v>0</v>
      </c>
      <c r="W48" s="310">
        <f>+SUMIFS($H:$H,$J:$J,"estudiante_ucm",$K:$K,"ing. telecomunicaciones",$A:$A,"Miércoles")</f>
        <v>0</v>
      </c>
      <c r="X48" s="474">
        <f>+COUNTIFS($J:$J,"estudiante_ucm",$K:$K,"ing. telecomunicaciones",$A:$A,"Jueves")</f>
        <v>0</v>
      </c>
      <c r="Y48" s="475">
        <f>+SUMIFS($H:$H,$J:$J,"estudiante_ucm",$K:$K,"ing. telecomunicaciones",$A:$A,"Jueves")</f>
        <v>0</v>
      </c>
      <c r="Z48" s="408">
        <f>+COUNTIFS($J:$J,"estudiante_ucm",$K:$K,"ing. telecomunicaciones",$A:$A,"viernes")</f>
        <v>0</v>
      </c>
      <c r="AA48" s="310">
        <f>+SUMIFS($H:$H,$J:$J,"estudiante_ucm",$K:$K,"ing. telecomunicaciones",$A:$A,"viernes")</f>
        <v>0</v>
      </c>
      <c r="AB48" s="474">
        <f>+COUNTIFS($J:$J,"estudiante_ucm",$K:$K,"ing. telecomunicaciones",$A:$A,"Sábado")</f>
        <v>0</v>
      </c>
      <c r="AC48" s="475">
        <f>+SUMIFS($H:$H,$J:$J,"estudiante_ucm",$K:$K,"ing. telecomunicaciones",$A:$A,"Sábado")</f>
        <v>0</v>
      </c>
      <c r="AD48" s="476">
        <f t="shared" si="26"/>
        <v>0</v>
      </c>
      <c r="AE48" s="477">
        <f t="shared" si="26"/>
        <v>0</v>
      </c>
      <c r="AF48" s="118"/>
      <c r="AG48" s="254" t="s">
        <v>83</v>
      </c>
      <c r="AH48" s="247">
        <f>+COUNTIFS($J:$J,"egresado_ucm",$K:$K,"ing. telecomunicaciones",$A:$A,"lunes")</f>
        <v>0</v>
      </c>
      <c r="AI48" s="248">
        <f>+SUMIFS($H:$H,$J:$J,"egresado_ucm",$K:$K,"ing. telecomunicaciones",$A:$A,"lunes")</f>
        <v>0</v>
      </c>
      <c r="AJ48" s="247">
        <f>+COUNTIFS($J:$J,"egresado_ucm",$K:$K,"ing. telecomunicaciones",$A:$A,"martes")</f>
        <v>0</v>
      </c>
      <c r="AK48" s="248">
        <f>+SUMIFS($H:$H,$J:$J,"egresado_ucm",$K:$K,"ing. telecomunicaciones",$A:$A,"Martes")</f>
        <v>0</v>
      </c>
      <c r="AL48" s="247">
        <f>+COUNTIFS($J:$J,"egresado_ucm",$K:$K,"ing. telecomunicaciones",$A:$A,"Miércoles")</f>
        <v>0</v>
      </c>
      <c r="AM48" s="248">
        <f>+SUMIFS($H:$H,$J:$J,"egresado_ucm",$K:$K,"ing. telecomunicaciones",$A:$A,"Miércoles")</f>
        <v>0</v>
      </c>
      <c r="AN48" s="255">
        <f>+COUNTIFS($J:$J,"egresado_ucm",$K:$K,"ing. telecomunicaciones",$A:$A,"Jueves")</f>
        <v>0</v>
      </c>
      <c r="AO48" s="258">
        <f>+SUMIFS($H:$H,$J:$J,"egresado_ucm",$K:$K,"ing. telecomunicaciones",$A:$A,"Jueves")</f>
        <v>0</v>
      </c>
      <c r="AP48" s="247">
        <f>+COUNTIFS($J:$J,"egresado_ucm",$K:$K,"ing. telecomunicaciones",$A:$A,"viernes")</f>
        <v>0</v>
      </c>
      <c r="AQ48" s="248">
        <f>+SUMIFS($H:$H,$J:$J,"egresado_ucm",$K:$K,"ing. telecomunicaciones",$A:$A,"viernes")</f>
        <v>0</v>
      </c>
      <c r="AR48" s="255">
        <f>+COUNTIFS($J:$J,"egresado_ucm",$K:$K,"ing. telecomunicaciones",$A:$A,"Sábado")</f>
        <v>0</v>
      </c>
      <c r="AS48" s="248">
        <f>+SUMIFS($H:$H,$J:$J,"egresado_ucm",$K:$K,"ing. telecomunicaciones",$A:$A,"Sábado")</f>
        <v>0</v>
      </c>
      <c r="AT48" s="257">
        <f t="shared" si="27"/>
        <v>0</v>
      </c>
      <c r="AU48" s="252">
        <f t="shared" si="27"/>
        <v>0</v>
      </c>
      <c r="AV48" s="89"/>
      <c r="AW48" s="89"/>
    </row>
    <row r="49" spans="1:49" ht="15.75" x14ac:dyDescent="0.25">
      <c r="A49" s="565" t="str">
        <f t="shared" si="10"/>
        <v>sábado</v>
      </c>
      <c r="B49" s="627"/>
      <c r="C49" s="563"/>
      <c r="D49" s="309"/>
      <c r="E49" s="309"/>
      <c r="F49" s="309"/>
      <c r="G49" s="309"/>
      <c r="H49" s="309"/>
      <c r="I49" s="309"/>
      <c r="J49" s="594"/>
      <c r="K49" s="572"/>
      <c r="L49" s="563"/>
      <c r="M49" s="87"/>
      <c r="N49" s="87"/>
      <c r="O49" s="87"/>
      <c r="P49" s="87"/>
      <c r="Q49" s="254" t="s">
        <v>86</v>
      </c>
      <c r="R49" s="408">
        <f>+COUNTIFS($J:$J,"estudiante_ucm",$K:$K,"publicidad",$A:$A,"lunes")</f>
        <v>0</v>
      </c>
      <c r="S49" s="310">
        <f>+SUMIFS($H:$H,$J:$J,"estudiante_ucm",$K:$K,"publicidad",$A:$A,"lunes")</f>
        <v>0</v>
      </c>
      <c r="T49" s="408">
        <f>+COUNTIFS($J:$J,"estudiante_ucm",$K:$K,"publicidad",$A:$A,"martes")</f>
        <v>0</v>
      </c>
      <c r="U49" s="310">
        <f>+SUMIFS($H:$H,$J:$J,"estudiante_ucm",$K:$K,"publicidad",$A:$A,"Martes")</f>
        <v>0</v>
      </c>
      <c r="V49" s="408">
        <f>+COUNTIFS($J:$J,"estudiante_ucm",$K:$K,"publicidad",$A:$A,"Miércoles")</f>
        <v>0</v>
      </c>
      <c r="W49" s="310">
        <f>+SUMIFS($H:$H,$J:$J,"estudiante_ucm",$K:$K,"publicidad",$A:$A,"Miércoles")</f>
        <v>0</v>
      </c>
      <c r="X49" s="474">
        <f>+COUNTIFS($J:$J,"estudiante_ucm",$K:$K,"publicidad",$A:$A,"Jueves")</f>
        <v>0</v>
      </c>
      <c r="Y49" s="475">
        <f>+SUMIFS($H:$H,$J:$J,"estudiante_ucm",$K:$K,"publicidad",$A:$A,"Jueves")</f>
        <v>0</v>
      </c>
      <c r="Z49" s="408">
        <f>+COUNTIFS($J:$J,"estudiante_ucm",$K:$K,"publicidad",$A:$A,"viernes")</f>
        <v>0</v>
      </c>
      <c r="AA49" s="310">
        <f>+SUMIFS($H:$H,$J:$J,"estudiante_ucm",$K:$K,"publicidad",$A:$A,"viernes")</f>
        <v>0</v>
      </c>
      <c r="AB49" s="474">
        <f>+COUNTIFS($J:$J,"estudiante_ucm",$K:$K,"publicidad",$A:$A,"Sábado")</f>
        <v>0</v>
      </c>
      <c r="AC49" s="475">
        <f>+SUMIFS($H:$H,$J:$J,"estudiante_ucm",$K:$K,"publicidad",$A:$A,"Sábado")</f>
        <v>0</v>
      </c>
      <c r="AD49" s="476">
        <f>+R49+T49+V49+X49+Z49+AB49</f>
        <v>0</v>
      </c>
      <c r="AE49" s="477">
        <f t="shared" si="26"/>
        <v>0</v>
      </c>
      <c r="AG49" s="254" t="s">
        <v>86</v>
      </c>
      <c r="AH49" s="247">
        <f>+COUNTIFS($J:$J,"egresado_ucm",$K:$K,"publicidad",$A:$A,"lunes")</f>
        <v>0</v>
      </c>
      <c r="AI49" s="248">
        <f>+SUMIFS($H:$H,$J:$J,"egresado_ucm",$K:$K,"publicidad",$A:$A,"lunes")</f>
        <v>0</v>
      </c>
      <c r="AJ49" s="247">
        <f>+COUNTIFS($J:$J,"egresado_ucm",$K:$K,"publicidad",$A:$A,"martes")</f>
        <v>0</v>
      </c>
      <c r="AK49" s="248">
        <f>+SUMIFS($H:$H,$J:$J,"egresado_ucm",$K:$K,"publicidad",$A:$A,"Martes")</f>
        <v>0</v>
      </c>
      <c r="AL49" s="247">
        <f>+COUNTIFS($J:$J,"egresado_ucm",$K:$K,"publicidad",$A:$A,"Miércoles")</f>
        <v>0</v>
      </c>
      <c r="AM49" s="248">
        <f>+SUMIFS($H:$H,$J:$J,"egresado_ucm",$K:$K,"publicidad",$A:$A,"Miércoles")</f>
        <v>0</v>
      </c>
      <c r="AN49" s="255">
        <f>+COUNTIFS($J:$J,"egresado_ucm",$K:$K,"publicidad",$A:$A,"Jueves")</f>
        <v>0</v>
      </c>
      <c r="AO49" s="258">
        <f>+SUMIFS($H:$H,$J:$J,"egresado_ucm",$K:$K,"publicidad",$A:$A,"Jueves")</f>
        <v>0</v>
      </c>
      <c r="AP49" s="247">
        <f>+COUNTIFS($J:$J,"egresado_ucm",$K:$K,"publicidad",$A:$A,"viernes")</f>
        <v>0</v>
      </c>
      <c r="AQ49" s="248">
        <f>+SUMIFS($H:$H,$J:$J,"egresado_ucm",$K:$K,"publicidad",$A:$A,"viernes")</f>
        <v>0</v>
      </c>
      <c r="AR49" s="255">
        <f>+COUNTIFS($J:$J,"egresado_ucm",$K:$K,"publicidad",$A:$A,"Sábado")</f>
        <v>0</v>
      </c>
      <c r="AS49" s="248">
        <f>+SUMIFS($H:$H,$J:$J,"egresado_ucm",$K:$K,"publicidad",$A:$A,"Sábado")</f>
        <v>0</v>
      </c>
      <c r="AT49" s="257">
        <f>+AH49+AJ49+AL49+AN49+AP49+AR49</f>
        <v>0</v>
      </c>
      <c r="AU49" s="252">
        <f t="shared" si="27"/>
        <v>0</v>
      </c>
      <c r="AV49" s="89"/>
      <c r="AW49" s="89"/>
    </row>
    <row r="50" spans="1:49" ht="15.75" x14ac:dyDescent="0.25">
      <c r="A50" s="565" t="str">
        <f t="shared" si="10"/>
        <v>sábado</v>
      </c>
      <c r="B50" s="627"/>
      <c r="C50" s="563"/>
      <c r="D50" s="309"/>
      <c r="E50" s="309"/>
      <c r="F50" s="309"/>
      <c r="G50" s="309"/>
      <c r="H50" s="309"/>
      <c r="I50" s="309"/>
      <c r="J50" s="594"/>
      <c r="K50" s="572"/>
      <c r="L50" s="563"/>
      <c r="M50" s="87"/>
      <c r="N50" s="87"/>
      <c r="O50" s="87"/>
      <c r="P50" s="87"/>
      <c r="Q50" s="254" t="s">
        <v>118</v>
      </c>
      <c r="R50" s="408">
        <f>+COUNTIFS($J:$J,"estudiante_ucm",$K:$K,"Maestria",$A:$A,"lunes")</f>
        <v>0</v>
      </c>
      <c r="S50" s="310">
        <f>+SUMIFS($H:$H,$J:$J,"estudiante_ucm",$K:$K,"maestria",$A:$A,"lunes")</f>
        <v>0</v>
      </c>
      <c r="T50" s="408">
        <f>+COUNTIFS($J:$J,"estudiante_ucm",$K:$K,"maestria",$A:$A,"martes")</f>
        <v>0</v>
      </c>
      <c r="U50" s="310">
        <f>+SUMIFS($H:$H,$J:$J,"estudiante_ucm",$K:$K,"maestria",$A:$A,"Martes")</f>
        <v>0</v>
      </c>
      <c r="V50" s="408">
        <f>+COUNTIFS($J:$J,"estudiante_ucm",$K:$K,"maestria",$A:$A,"Miércoles")</f>
        <v>0</v>
      </c>
      <c r="W50" s="310">
        <f>+SUMIFS($H:$H,$J:$J,"estudiante_ucm",$K:$K,"maestria",$A:$A,"Miércoles")</f>
        <v>0</v>
      </c>
      <c r="X50" s="474">
        <f>+COUNTIFS($J:$J,"estudiante_ucm",$K:$K,"maestria",$A:$A,"Jueves")</f>
        <v>0</v>
      </c>
      <c r="Y50" s="475">
        <f>+SUMIFS($H:$H,$J:$J,"estudiante_ucm",$K:$K,"maestria",$A:$A,"Jueves")</f>
        <v>0</v>
      </c>
      <c r="Z50" s="408">
        <f>+COUNTIFS($J:$J,"estudiante_ucm",$K:$K,"maestria",$A:$A,"viernes")</f>
        <v>0</v>
      </c>
      <c r="AA50" s="310">
        <f>+SUMIFS($H:$H,$J:$J,"estudiante_ucm",$K:$K,"maestria",$A:$A,"viernes")</f>
        <v>0</v>
      </c>
      <c r="AB50" s="474">
        <f>+COUNTIFS($J:$J,"estudiante_ucm",$K:$K,"maestria",$A:$A,"Sábado")</f>
        <v>0</v>
      </c>
      <c r="AC50" s="475">
        <f>+SUMIFS($H:$H,$J:$J,"estudiante_ucm",$K:$K,"maestria",$A:$A,"Sábado")</f>
        <v>0</v>
      </c>
      <c r="AD50" s="476">
        <f t="shared" si="26"/>
        <v>0</v>
      </c>
      <c r="AE50" s="477">
        <f t="shared" si="26"/>
        <v>0</v>
      </c>
      <c r="AG50" s="254" t="s">
        <v>118</v>
      </c>
      <c r="AH50" s="247">
        <f>+COUNTIFS($J:$J,"egresado_ucm",$K:$K,"Maestria",$A:$A,"lunes")</f>
        <v>0</v>
      </c>
      <c r="AI50" s="248">
        <f>+SUMIFS($H:$H,$J:$J,"egresado_ucm",$K:$K,"maestria",$A:$A,"lunes")</f>
        <v>0</v>
      </c>
      <c r="AJ50" s="247">
        <f>+COUNTIFS($J:$J,"egresado_ucm",$K:$K,"maestria",$A:$A,"martes")</f>
        <v>0</v>
      </c>
      <c r="AK50" s="248">
        <f>+SUMIFS($H:$H,$J:$J,"egresado_ucm",$K:$K,"maestria",$A:$A,"Martes")</f>
        <v>0</v>
      </c>
      <c r="AL50" s="247">
        <f>+COUNTIFS($J:$J,"egresado_ucm",$K:$K,"maestria",$A:$A,"Miércoles")</f>
        <v>0</v>
      </c>
      <c r="AM50" s="248">
        <f>+SUMIFS($H:$H,$J:$J,"egresado_ucm",$K:$K,"maestria",$A:$A,"Miércoles")</f>
        <v>0</v>
      </c>
      <c r="AN50" s="255">
        <f>+COUNTIFS($J:$J,"egresado_ucm",$K:$K,"maestria",$A:$A,"Jueves")</f>
        <v>0</v>
      </c>
      <c r="AO50" s="258">
        <f>+SUMIFS($H:$H,$J:$J,"egresado_ucm",$K:$K,"maestria",$A:$A,"Jueves")</f>
        <v>0</v>
      </c>
      <c r="AP50" s="247">
        <f>+COUNTIFS($J:$J,"egresado_ucm",$K:$K,"maestria",$A:$A,"viernes")</f>
        <v>0</v>
      </c>
      <c r="AQ50" s="248">
        <f>+SUMIFS($H:$H,$J:$J,"egresado_ucm",$K:$K,"maestria",$A:$A,"viernes")</f>
        <v>0</v>
      </c>
      <c r="AR50" s="255">
        <f>+COUNTIFS($J:$J,"egresado_ucm",$K:$K,"maestria",$A:$A,"Sábado")</f>
        <v>0</v>
      </c>
      <c r="AS50" s="248">
        <f>+SUMIFS($H:$H,$J:$J,"egresado_ucm",$K:$K,"maestria",$A:$A,"Sábado")</f>
        <v>0</v>
      </c>
      <c r="AT50" s="257">
        <f t="shared" ref="AT50:AT51" si="28">+AH50+AJ50+AL50+AN50+AP50+AR50</f>
        <v>0</v>
      </c>
      <c r="AU50" s="252">
        <f t="shared" si="27"/>
        <v>0</v>
      </c>
      <c r="AV50" s="89"/>
      <c r="AW50" s="89"/>
    </row>
    <row r="51" spans="1:49" ht="15.75" thickBot="1" x14ac:dyDescent="0.3">
      <c r="A51" s="565" t="str">
        <f t="shared" si="10"/>
        <v>sábado</v>
      </c>
      <c r="B51" s="627"/>
      <c r="C51" s="563"/>
      <c r="D51" s="309"/>
      <c r="E51" s="309"/>
      <c r="F51" s="309"/>
      <c r="G51" s="309"/>
      <c r="H51" s="309"/>
      <c r="I51" s="309"/>
      <c r="J51" s="594"/>
      <c r="K51" s="629"/>
      <c r="L51" s="563"/>
      <c r="M51" s="87"/>
      <c r="N51" s="87"/>
      <c r="O51" s="87"/>
      <c r="P51" s="87"/>
      <c r="Q51" s="282" t="s">
        <v>119</v>
      </c>
      <c r="R51" s="478">
        <f>+COUNTIFS($J:$J,"estudiante_ucm",$K:$K,"Tecnologia",$A:$A,"lunes")</f>
        <v>0</v>
      </c>
      <c r="S51" s="312">
        <f>+SUMIFS($H:$H,$J:$J,"estudiante_ucm",$K:$K,"tecnologia",$A:$A,"lunes")</f>
        <v>0</v>
      </c>
      <c r="T51" s="478">
        <f>+COUNTIFS($J:$J,"estudiante_ucm",$K:$K,"tecnologia",$A:$A,"martes")</f>
        <v>0</v>
      </c>
      <c r="U51" s="312">
        <f>+SUMIFS($H:$H,$J:$J,"estudiante_ucm",$K:$K,"tecnologia",$A:$A,"Martes")</f>
        <v>0</v>
      </c>
      <c r="V51" s="478">
        <f>+COUNTIFS($J:$J,"estudiante_ucm",$K:$K,"tecnologia",$A:$A,"Miércoles")</f>
        <v>0</v>
      </c>
      <c r="W51" s="312">
        <f>+SUMIFS($H:$H,$J:$J,"estudiante_ucm",$K:$K,"tecnologia",$A:$A,"Miércoles")</f>
        <v>0</v>
      </c>
      <c r="X51" s="479">
        <f>+COUNTIFS($J:$J,"estudiante_ucm",$K:$K,"tecnologia",$A:$A,"Jueves")</f>
        <v>0</v>
      </c>
      <c r="Y51" s="480">
        <f>+SUMIFS($H:$H,$J:$J,"estudiante_ucm",$K:$K,"tecnologia",$A:$A,"Jueves")</f>
        <v>0</v>
      </c>
      <c r="Z51" s="478">
        <f>+COUNTIFS($J:$J,"estudiante_ucm",$K:$K,"tecnologia",$A:$A,"viernes")</f>
        <v>0</v>
      </c>
      <c r="AA51" s="312">
        <f>+SUMIFS($H:$H,$J:$J,"estudiante_ucm",$K:$K,"tecnologia",$A:$A,"viernes")</f>
        <v>0</v>
      </c>
      <c r="AB51" s="479">
        <f>+COUNTIFS($J:$J,"estudiante_ucm",$K:$K,"tecnologia",$A:$A,"Sábado")</f>
        <v>0</v>
      </c>
      <c r="AC51" s="480">
        <f>+SUMIFS($H:$H,$J:$J,"estudiante_ucm",$K:$K,"tecnologia",$A:$A,"Sábado")</f>
        <v>0</v>
      </c>
      <c r="AD51" s="481">
        <f t="shared" si="26"/>
        <v>0</v>
      </c>
      <c r="AE51" s="482">
        <f t="shared" si="26"/>
        <v>0</v>
      </c>
      <c r="AG51" s="282" t="s">
        <v>119</v>
      </c>
      <c r="AH51" s="283">
        <f>+COUNTIFS($J:$J,"egresado_ucm",$K:$K,"Tecnologia",$A:$A,"lunes")</f>
        <v>0</v>
      </c>
      <c r="AI51" s="273">
        <f>+SUMIFS($H:$H,$J:$J,"egresado_ucm",$K:$K,"tecnologia",$A:$A,"lunes")</f>
        <v>0</v>
      </c>
      <c r="AJ51" s="283">
        <f>+COUNTIFS($J:$J,"egresado_ucm",$K:$K,"tecnologia",$A:$A,"martes")</f>
        <v>0</v>
      </c>
      <c r="AK51" s="273">
        <f>+SUMIFS($H:$H,$J:$J,"egresado_ucm",$K:$K,"tecnologia",$A:$A,"Martes")</f>
        <v>0</v>
      </c>
      <c r="AL51" s="283">
        <f>+COUNTIFS($J:$J,"egresado_ucm",$K:$K,"tecnologia",$A:$A,"Miércoles")</f>
        <v>0</v>
      </c>
      <c r="AM51" s="273">
        <f>+SUMIFS($H:$H,$J:$J,"egresado_ucm",$K:$K,"tecnologia",$A:$A,"Miércoles")</f>
        <v>0</v>
      </c>
      <c r="AN51" s="284">
        <f>+COUNTIFS($J:$J,"egresado_ucm",$K:$K,"tecnologia",$A:$A,"Jueves")</f>
        <v>0</v>
      </c>
      <c r="AO51" s="285">
        <f>+SUMIFS($H:$H,$J:$J,"egresado_ucm",$K:$K,"tecnologia",$A:$A,"Jueves")</f>
        <v>0</v>
      </c>
      <c r="AP51" s="283">
        <f>+COUNTIFS($J:$J,"egresado_ucm",$K:$K,"tecnologia",$A:$A,"viernes")</f>
        <v>0</v>
      </c>
      <c r="AQ51" s="273">
        <f>+SUMIFS($H:$H,$J:$J,"egresado_ucm",$K:$K,"tecnologia",$A:$A,"viernes")</f>
        <v>0</v>
      </c>
      <c r="AR51" s="284">
        <f>+COUNTIFS($J:$J,"egresado_ucm",$K:$K,"tecnologia",$A:$A,"Sábado")</f>
        <v>0</v>
      </c>
      <c r="AS51" s="273">
        <f>+SUMIFS($H:$H,$J:$J,"egresado_ucm",$K:$K,"tecnologia",$A:$A,"Sábado")</f>
        <v>0</v>
      </c>
      <c r="AT51" s="278">
        <f t="shared" si="28"/>
        <v>0</v>
      </c>
      <c r="AU51" s="279">
        <f t="shared" si="27"/>
        <v>0</v>
      </c>
      <c r="AV51" s="89"/>
      <c r="AW51" s="89"/>
    </row>
    <row r="52" spans="1:49" ht="13.5" thickBot="1" x14ac:dyDescent="0.25">
      <c r="A52" s="565" t="str">
        <f t="shared" si="10"/>
        <v>sábado</v>
      </c>
      <c r="B52" s="627"/>
      <c r="C52" s="563"/>
      <c r="D52" s="309"/>
      <c r="E52" s="309"/>
      <c r="F52" s="309"/>
      <c r="G52" s="309"/>
      <c r="H52" s="309"/>
      <c r="I52" s="309"/>
      <c r="J52" s="594"/>
      <c r="K52" s="563"/>
      <c r="L52" s="563"/>
      <c r="M52" s="87"/>
      <c r="N52" s="87"/>
      <c r="O52" s="87"/>
      <c r="P52" s="87"/>
      <c r="Q52" s="286" t="s">
        <v>9</v>
      </c>
      <c r="R52" s="287">
        <f>SUM(R42:R51)</f>
        <v>0</v>
      </c>
      <c r="S52" s="287">
        <f t="shared" ref="S52:AC52" si="29">SUM(S42:S51)</f>
        <v>0</v>
      </c>
      <c r="T52" s="287">
        <f t="shared" si="29"/>
        <v>0</v>
      </c>
      <c r="U52" s="287">
        <f t="shared" si="29"/>
        <v>0</v>
      </c>
      <c r="V52" s="287">
        <f t="shared" si="29"/>
        <v>0</v>
      </c>
      <c r="W52" s="287">
        <f t="shared" si="29"/>
        <v>0</v>
      </c>
      <c r="X52" s="287">
        <f t="shared" si="29"/>
        <v>0</v>
      </c>
      <c r="Y52" s="287">
        <f t="shared" si="29"/>
        <v>0</v>
      </c>
      <c r="Z52" s="287">
        <f t="shared" si="29"/>
        <v>0</v>
      </c>
      <c r="AA52" s="287">
        <f t="shared" si="29"/>
        <v>0</v>
      </c>
      <c r="AB52" s="287">
        <f t="shared" si="29"/>
        <v>0</v>
      </c>
      <c r="AC52" s="288">
        <f t="shared" si="29"/>
        <v>0</v>
      </c>
      <c r="AD52" s="483">
        <f>SUM(AD42:AD51)</f>
        <v>0</v>
      </c>
      <c r="AE52" s="484">
        <f>SUM(AE42:AE51)</f>
        <v>0</v>
      </c>
      <c r="AF52" s="87"/>
      <c r="AG52" s="292" t="s">
        <v>9</v>
      </c>
      <c r="AH52" s="293">
        <f>SUM(AH42:AH51)</f>
        <v>0</v>
      </c>
      <c r="AI52" s="293">
        <f t="shared" ref="AI52:AS52" si="30">SUM(AI42:AI51)</f>
        <v>0</v>
      </c>
      <c r="AJ52" s="293">
        <f t="shared" si="30"/>
        <v>0</v>
      </c>
      <c r="AK52" s="293">
        <f t="shared" si="30"/>
        <v>0</v>
      </c>
      <c r="AL52" s="293">
        <f t="shared" si="30"/>
        <v>0</v>
      </c>
      <c r="AM52" s="293">
        <f t="shared" si="30"/>
        <v>0</v>
      </c>
      <c r="AN52" s="293">
        <f t="shared" si="30"/>
        <v>0</v>
      </c>
      <c r="AO52" s="293">
        <f t="shared" si="30"/>
        <v>0</v>
      </c>
      <c r="AP52" s="293">
        <f t="shared" si="30"/>
        <v>0</v>
      </c>
      <c r="AQ52" s="293">
        <f t="shared" si="30"/>
        <v>0</v>
      </c>
      <c r="AR52" s="293">
        <f t="shared" si="30"/>
        <v>0</v>
      </c>
      <c r="AS52" s="277">
        <f t="shared" si="30"/>
        <v>0</v>
      </c>
      <c r="AT52" s="291">
        <f>SUM(AT42:AT51)</f>
        <v>0</v>
      </c>
      <c r="AU52" s="290">
        <f>SUM(AU42:AU51)</f>
        <v>0</v>
      </c>
      <c r="AV52" s="89"/>
      <c r="AW52" s="89"/>
    </row>
    <row r="53" spans="1:49" x14ac:dyDescent="0.2">
      <c r="A53" s="565" t="str">
        <f t="shared" si="10"/>
        <v>sábado</v>
      </c>
      <c r="B53" s="627"/>
      <c r="C53" s="563"/>
      <c r="D53" s="309"/>
      <c r="E53" s="309"/>
      <c r="F53" s="309"/>
      <c r="G53" s="309"/>
      <c r="H53" s="309"/>
      <c r="I53" s="309"/>
      <c r="J53" s="594"/>
      <c r="K53" s="563"/>
      <c r="L53" s="563"/>
      <c r="M53" s="87"/>
      <c r="N53" s="87"/>
      <c r="O53" s="87"/>
      <c r="P53" s="87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9"/>
      <c r="AW53" s="89"/>
    </row>
    <row r="54" spans="1:49" ht="13.5" thickBot="1" x14ac:dyDescent="0.25">
      <c r="A54" s="565" t="str">
        <f t="shared" si="10"/>
        <v>sábado</v>
      </c>
      <c r="B54" s="627"/>
      <c r="C54" s="563"/>
      <c r="D54" s="309"/>
      <c r="E54" s="309"/>
      <c r="F54" s="309"/>
      <c r="G54" s="309"/>
      <c r="H54" s="309"/>
      <c r="I54" s="309"/>
      <c r="J54" s="594"/>
      <c r="K54" s="563"/>
      <c r="L54" s="563"/>
      <c r="M54" s="87"/>
      <c r="N54" s="87"/>
      <c r="O54" s="87"/>
      <c r="P54" s="87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9"/>
      <c r="AW54" s="89"/>
    </row>
    <row r="55" spans="1:49" ht="15.75" thickBot="1" x14ac:dyDescent="0.3">
      <c r="A55" s="565" t="str">
        <f t="shared" si="10"/>
        <v>sábado</v>
      </c>
      <c r="B55" s="630"/>
      <c r="C55" s="563"/>
      <c r="D55" s="309"/>
      <c r="E55" s="563"/>
      <c r="F55" s="563"/>
      <c r="G55" s="309"/>
      <c r="H55" s="309"/>
      <c r="I55" s="563"/>
      <c r="J55" s="563"/>
      <c r="K55" s="631"/>
      <c r="L55" s="563"/>
      <c r="M55" s="87"/>
      <c r="N55" s="87"/>
      <c r="O55" s="87"/>
      <c r="P55" s="87"/>
      <c r="Q55" s="650" t="s">
        <v>121</v>
      </c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2"/>
      <c r="AD55" s="118"/>
      <c r="AE55" s="87"/>
      <c r="AF55" s="87"/>
      <c r="AG55" s="118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9"/>
      <c r="AW55" s="89"/>
    </row>
    <row r="56" spans="1:49" ht="13.5" thickBot="1" x14ac:dyDescent="0.25">
      <c r="A56" s="565" t="str">
        <f t="shared" ref="A56:A72" si="31">+TEXT(B56,"dddd")</f>
        <v>sábado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87"/>
      <c r="N56" s="87"/>
      <c r="O56" s="87"/>
      <c r="P56" s="87"/>
      <c r="Q56" s="268"/>
      <c r="R56" s="653" t="s">
        <v>105</v>
      </c>
      <c r="S56" s="654"/>
      <c r="T56" s="653" t="s">
        <v>106</v>
      </c>
      <c r="U56" s="654"/>
      <c r="V56" s="653" t="s">
        <v>111</v>
      </c>
      <c r="W56" s="654"/>
      <c r="X56" s="653" t="s">
        <v>107</v>
      </c>
      <c r="Y56" s="654"/>
      <c r="Z56" s="653" t="s">
        <v>108</v>
      </c>
      <c r="AA56" s="654"/>
      <c r="AB56" s="653" t="s">
        <v>112</v>
      </c>
      <c r="AC56" s="654"/>
      <c r="AD56" s="118"/>
      <c r="AE56" s="87"/>
      <c r="AF56" s="87"/>
      <c r="AG56" s="268"/>
      <c r="AH56" s="649" t="s">
        <v>105</v>
      </c>
      <c r="AI56" s="645"/>
      <c r="AJ56" s="645" t="s">
        <v>106</v>
      </c>
      <c r="AK56" s="645"/>
      <c r="AL56" s="645" t="s">
        <v>111</v>
      </c>
      <c r="AM56" s="645"/>
      <c r="AN56" s="645" t="s">
        <v>107</v>
      </c>
      <c r="AO56" s="645"/>
      <c r="AP56" s="645" t="s">
        <v>108</v>
      </c>
      <c r="AQ56" s="645"/>
      <c r="AR56" s="645" t="s">
        <v>112</v>
      </c>
      <c r="AS56" s="646"/>
      <c r="AT56" s="647"/>
      <c r="AU56" s="648"/>
      <c r="AV56" s="89"/>
      <c r="AW56" s="89"/>
    </row>
    <row r="57" spans="1:49" ht="13.5" thickBot="1" x14ac:dyDescent="0.25">
      <c r="A57" s="565" t="str">
        <f t="shared" si="31"/>
        <v>sábado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87"/>
      <c r="N57" s="87"/>
      <c r="O57" s="87"/>
      <c r="P57" s="87"/>
      <c r="Q57" s="272" t="s">
        <v>124</v>
      </c>
      <c r="R57" s="266" t="s">
        <v>109</v>
      </c>
      <c r="S57" s="265" t="s">
        <v>117</v>
      </c>
      <c r="T57" s="264" t="s">
        <v>109</v>
      </c>
      <c r="U57" s="265" t="s">
        <v>117</v>
      </c>
      <c r="V57" s="264" t="s">
        <v>109</v>
      </c>
      <c r="W57" s="265" t="s">
        <v>117</v>
      </c>
      <c r="X57" s="266" t="s">
        <v>109</v>
      </c>
      <c r="Y57" s="267" t="s">
        <v>117</v>
      </c>
      <c r="Z57" s="264" t="s">
        <v>109</v>
      </c>
      <c r="AA57" s="265" t="s">
        <v>117</v>
      </c>
      <c r="AB57" s="266" t="s">
        <v>109</v>
      </c>
      <c r="AC57" s="265" t="s">
        <v>117</v>
      </c>
      <c r="AD57" s="280" t="s">
        <v>150</v>
      </c>
      <c r="AE57" s="281" t="s">
        <v>151</v>
      </c>
      <c r="AF57" s="87"/>
      <c r="AG57" s="296"/>
      <c r="AH57" s="301" t="s">
        <v>109</v>
      </c>
      <c r="AI57" s="302" t="s">
        <v>117</v>
      </c>
      <c r="AJ57" s="302" t="s">
        <v>109</v>
      </c>
      <c r="AK57" s="302" t="s">
        <v>117</v>
      </c>
      <c r="AL57" s="302" t="s">
        <v>109</v>
      </c>
      <c r="AM57" s="302" t="s">
        <v>117</v>
      </c>
      <c r="AN57" s="302" t="s">
        <v>109</v>
      </c>
      <c r="AO57" s="302" t="s">
        <v>117</v>
      </c>
      <c r="AP57" s="302" t="s">
        <v>109</v>
      </c>
      <c r="AQ57" s="302" t="s">
        <v>117</v>
      </c>
      <c r="AR57" s="302" t="s">
        <v>109</v>
      </c>
      <c r="AS57" s="303" t="s">
        <v>117</v>
      </c>
      <c r="AT57" s="264" t="s">
        <v>150</v>
      </c>
      <c r="AU57" s="265" t="s">
        <v>151</v>
      </c>
      <c r="AV57" s="89"/>
      <c r="AW57" s="89"/>
    </row>
    <row r="58" spans="1:49" x14ac:dyDescent="0.2">
      <c r="A58" s="565" t="str">
        <f t="shared" si="31"/>
        <v>sábado</v>
      </c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87"/>
      <c r="N58" s="87"/>
      <c r="O58" s="87"/>
      <c r="P58" s="87"/>
      <c r="Q58" s="270" t="s">
        <v>125</v>
      </c>
      <c r="R58" s="255">
        <f>+COUNTIFS($J:$J,"estudiante_externo",$K:$K,"U. Nacional",$A:$A,"lunes")</f>
        <v>0</v>
      </c>
      <c r="S58" s="248">
        <f>+SUMIFS($H:$H,$J:$J,"estudiante_externo",$K:$K,"u. nacional",$A:$A,"lunes")</f>
        <v>0</v>
      </c>
      <c r="T58" s="247">
        <f>+COUNTIFS($J:$J,"estudiante_externo",$K:$K,"U. Nacional",$A:$A,"martes")</f>
        <v>0</v>
      </c>
      <c r="U58" s="248">
        <f>+SUMIFS($H:$H,$J:$J,"estudiante_externo",$K:$K,"u. nacional",$A:$A,"martes")</f>
        <v>0</v>
      </c>
      <c r="V58" s="247">
        <f>+COUNTIFS($J:$J,"estudiante_externo",$K:$K,"U. Nacional",$A:$A,"miércoles")</f>
        <v>0</v>
      </c>
      <c r="W58" s="248">
        <f>+SUMIFS($H:$H,$J:$J,"estudiante_externo",$K:$K,"u. nacional",$A:$A,"miércoles")</f>
        <v>0</v>
      </c>
      <c r="X58" s="247">
        <f>+COUNTIFS($J:$J,"estudiante_externo",$K:$K,"U. Nacional",$A:$A,"jueves")</f>
        <v>0</v>
      </c>
      <c r="Y58" s="248">
        <f>+SUMIFS($H:$H,$J:$J,"estudiante_externo",$K:$K,"u. nacional",$A:$A,"jueves")</f>
        <v>0</v>
      </c>
      <c r="Z58" s="247">
        <f>+COUNTIFS($J:$J,"estudiante_externo",$K:$K,"U. Nacional",$A:$A,"Viernes")</f>
        <v>0</v>
      </c>
      <c r="AA58" s="248">
        <f>+SUMIFS($H:$H,$J:$J,"estudiante_externo",$K:$K,"u. nacional",$A:$A,"Viernes")</f>
        <v>0</v>
      </c>
      <c r="AB58" s="247">
        <f>+COUNTIFS($J:$J,"estudiante_externo",$K:$K,"U. Nacional",$A:$A,"sábado")</f>
        <v>0</v>
      </c>
      <c r="AC58" s="248">
        <f>+SUMIFS($H:$H,$J:$J,"estudiante_externo",$K:$K,"u. nacional",$A:$A,"sábado")</f>
        <v>0</v>
      </c>
      <c r="AD58" s="257">
        <f>+R58+T58+V58+X58+Z58+AB58</f>
        <v>0</v>
      </c>
      <c r="AE58" s="252">
        <f>+S58+U58+W58+Y58+AA58+AC58</f>
        <v>0</v>
      </c>
      <c r="AF58" s="87"/>
      <c r="AG58" s="269" t="s">
        <v>152</v>
      </c>
      <c r="AH58" s="298">
        <f>+COUNTIFS($J:$J,"colaborador",$A:$A,"lunes")</f>
        <v>0</v>
      </c>
      <c r="AI58" s="299">
        <f>+SUMIFS($H:$H,$J:$J,"colaborador",$A:$A,"lunes")</f>
        <v>0</v>
      </c>
      <c r="AJ58" s="299">
        <f>+COUNTIFS($J:$J,"colaborador",$A:$A,"Martes")</f>
        <v>0</v>
      </c>
      <c r="AK58" s="299">
        <f>+SUMIFS($H:$H,$J:$J,"colaborador",$A:$A,"Martes")</f>
        <v>0</v>
      </c>
      <c r="AL58" s="299">
        <f>+COUNTIFS($J:$J,"colaborador",$A:$A,"miércoles")</f>
        <v>0</v>
      </c>
      <c r="AM58" s="299">
        <f>+SUMIFS($H:$H,$J:$J,"colaborador",$A:$A,"miércoles")</f>
        <v>0</v>
      </c>
      <c r="AN58" s="299">
        <f>+COUNTIFS($J:$J,"colaborador",$A:$A,"Jueves")</f>
        <v>0</v>
      </c>
      <c r="AO58" s="299">
        <f>+SUMIFS($H:$H,$J:$J,"colaborador",$A:$A,"Jueves")</f>
        <v>0</v>
      </c>
      <c r="AP58" s="299">
        <f>+COUNTIFS($J:$J,"colaborador",$A:$A,"viernes")</f>
        <v>0</v>
      </c>
      <c r="AQ58" s="299">
        <f>+SUMIFS($H:$H,$J:$J,"colaborador",$A:$A,"viernes")</f>
        <v>0</v>
      </c>
      <c r="AR58" s="299">
        <f>+COUNTIFS($J:$J,"colaborador",$A:$A,"sábado")</f>
        <v>0</v>
      </c>
      <c r="AS58" s="300">
        <f>+SUMIFS($H:$H,$J:$J,"colaborador",$A:$A,"sábado")</f>
        <v>0</v>
      </c>
      <c r="AT58" s="247">
        <f>+AH58+AJ58+AL58+AN58+AP58+AR58</f>
        <v>0</v>
      </c>
      <c r="AU58" s="248">
        <f>+AI58+AK58+AM58+AO58+AQ58+AS58</f>
        <v>0</v>
      </c>
      <c r="AV58" s="89"/>
      <c r="AW58" s="89"/>
    </row>
    <row r="59" spans="1:49" x14ac:dyDescent="0.2">
      <c r="A59" s="565" t="str">
        <f t="shared" si="31"/>
        <v>sábado</v>
      </c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87"/>
      <c r="N59" s="87"/>
      <c r="O59" s="87"/>
      <c r="P59" s="87"/>
      <c r="Q59" s="270" t="s">
        <v>87</v>
      </c>
      <c r="R59" s="255">
        <f>+COUNTIFS($J:$J,"estudiante_externo",$K:$K,"u. manizales",$A:$A,"lunes")</f>
        <v>0</v>
      </c>
      <c r="S59" s="248">
        <f>+SUMIFS($H:$H,$J:$J,"estudiante_externo",$K:$K,"u. manizales",$A:$A,"lunes")</f>
        <v>0</v>
      </c>
      <c r="T59" s="247">
        <f>+COUNTIFS($J:$J,"estudiante_externo",$K:$K,"u. manizales",$A:$A,"martes")</f>
        <v>0</v>
      </c>
      <c r="U59" s="248">
        <f>+SUMIFS($H:$H,$J:$J,"estudiante_externo",$K:$K,"u. manizales",$A:$A,"martes")</f>
        <v>0</v>
      </c>
      <c r="V59" s="247">
        <f>+COUNTIFS($J:$J,"estudiante_externo",$K:$K,"u. manizales",$A:$A,"miércoles")</f>
        <v>0</v>
      </c>
      <c r="W59" s="248">
        <f>+SUMIFS($H:$H,$J:$J,"estudiante_externo",$K:$K,"u. manizales",$A:$A,"miércoles")</f>
        <v>0</v>
      </c>
      <c r="X59" s="247">
        <f>+COUNTIFS($J:$J,"estudiante_externo",$K:$K,"u. manizales",$A:$A,"jueves")</f>
        <v>0</v>
      </c>
      <c r="Y59" s="248">
        <f>+SUMIFS($H:$H,$J:$J,"estudiante_externo",$K:$K,"u. manizales",$A:$A,"jueves")</f>
        <v>0</v>
      </c>
      <c r="Z59" s="247">
        <f>+COUNTIFS($J:$J,"estudiante_externo",$K:$K,"u. manizales",$A:$A,"Viernes")</f>
        <v>0</v>
      </c>
      <c r="AA59" s="248">
        <f>+SUMIFS($H:$H,$J:$J,"estudiante_externo",$K:$K,"u. manizales",$A:$A,"Viernes")</f>
        <v>0</v>
      </c>
      <c r="AB59" s="247">
        <f>+COUNTIFS($J:$J,"estudiante_externo",$K:$K,"u. manizales",$A:$A,"sábado")</f>
        <v>0</v>
      </c>
      <c r="AC59" s="248">
        <f>+SUMIFS($H:$H,$J:$J,"estudiante_externo",$K:$K,"u. manizales",$A:$A,"sábado")</f>
        <v>0</v>
      </c>
      <c r="AD59" s="257">
        <f t="shared" ref="AD59:AE65" si="32">+R59+T59+V59+X59+Z59+AB59</f>
        <v>0</v>
      </c>
      <c r="AE59" s="252">
        <f t="shared" si="32"/>
        <v>0</v>
      </c>
      <c r="AF59" s="87"/>
      <c r="AG59" s="296" t="s">
        <v>153</v>
      </c>
      <c r="AH59" s="255">
        <f>+COUNTIFS($J:$J,"particular",$A:$A,"lunes")</f>
        <v>0</v>
      </c>
      <c r="AI59" s="246">
        <f>+SUMIFS($H:$H,$J:$J,"particular",$A:$A,"lunes")</f>
        <v>0</v>
      </c>
      <c r="AJ59" s="246">
        <f>+COUNTIFS($J:$J,"particular",$A:$A,"Martes")</f>
        <v>0</v>
      </c>
      <c r="AK59" s="246">
        <f>+SUMIFS($H:$H,$J:$J,"particular",$A:$A,"Martes")</f>
        <v>0</v>
      </c>
      <c r="AL59" s="246">
        <f>+COUNTIFS($J:$J,"particular",$A:$A,"miércoles")</f>
        <v>0</v>
      </c>
      <c r="AM59" s="246">
        <f>+SUMIFS($H:$H,$J:$J,"particular",$A:$A,"miércoles")</f>
        <v>0</v>
      </c>
      <c r="AN59" s="246">
        <f>+COUNTIFS($J:$J,"particular",$A:$A,"Jueves")</f>
        <v>0</v>
      </c>
      <c r="AO59" s="246">
        <f>+SUMIFS($H:$H,$J:$J,"particular",$A:$A,"Jueves")</f>
        <v>0</v>
      </c>
      <c r="AP59" s="246">
        <f>+COUNTIFS($J:$J,"particular",$A:$A,"viernes")</f>
        <v>0</v>
      </c>
      <c r="AQ59" s="246">
        <f>+SUMIFS($H:$H,$J:$J,"particular",$A:$A,"viernes")</f>
        <v>0</v>
      </c>
      <c r="AR59" s="246">
        <f>+COUNTIFS($J:$J,"particular",$A:$A,"sábado")</f>
        <v>0</v>
      </c>
      <c r="AS59" s="258">
        <f>+SUMIFS($H:$H,$J:$J,"particular",$A:$A,"sábado")</f>
        <v>0</v>
      </c>
      <c r="AT59" s="247">
        <f t="shared" ref="AT59:AU64" si="33">+AH59+AJ59+AL59+AN59+AP59+AR59</f>
        <v>0</v>
      </c>
      <c r="AU59" s="248">
        <f t="shared" si="33"/>
        <v>0</v>
      </c>
      <c r="AV59" s="89"/>
      <c r="AW59" s="89"/>
    </row>
    <row r="60" spans="1:49" x14ac:dyDescent="0.2">
      <c r="A60" s="565" t="str">
        <f t="shared" si="31"/>
        <v>sábado</v>
      </c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87"/>
      <c r="N60" s="87"/>
      <c r="O60" s="87"/>
      <c r="P60" s="87"/>
      <c r="Q60" s="270" t="s">
        <v>88</v>
      </c>
      <c r="R60" s="255">
        <f>+COUNTIFS($J:$J,"estudiante_externo",$K:$K,"u. caldas",$A:$A,"lunes")</f>
        <v>0</v>
      </c>
      <c r="S60" s="248">
        <f>+SUMIFS($H:$H,$J:$J,"estudiante_externo",$K:$K,"u. caldas",$A:$A,"lunes")</f>
        <v>0</v>
      </c>
      <c r="T60" s="247">
        <f>+COUNTIFS($J:$J,"estudiante_externo",$K:$K,"u. caldas",$A:$A,"martes")</f>
        <v>0</v>
      </c>
      <c r="U60" s="248">
        <f>+SUMIFS($H:$H,$J:$J,"estudiante_externo",$K:$K,"u. caldas",$A:$A,"martes")</f>
        <v>0</v>
      </c>
      <c r="V60" s="247">
        <f>+COUNTIFS($J:$J,"estudiante_externo",$K:$K,"u. caldas",$A:$A,"miércoles")</f>
        <v>0</v>
      </c>
      <c r="W60" s="248">
        <f>+SUMIFS($H:$H,$J:$J,"estudiante_externo",$K:$K,"u. caldas",$A:$A,"miércoles")</f>
        <v>0</v>
      </c>
      <c r="X60" s="247">
        <f>+COUNTIFS($J:$J,"estudiante_externo",$K:$K,"u. caldas",$A:$A,"jueves")</f>
        <v>0</v>
      </c>
      <c r="Y60" s="248">
        <f>+SUMIFS($H:$H,$J:$J,"estudiante_externo",$K:$K,"u. caldas",$A:$A,"jueves")</f>
        <v>0</v>
      </c>
      <c r="Z60" s="247">
        <f>+COUNTIFS($J:$J,"estudiante_externo",$K:$K,"u. caldas",$A:$A,"Viernes")</f>
        <v>0</v>
      </c>
      <c r="AA60" s="248">
        <f>+SUMIFS($H:$H,$J:$J,"estudiante_externo",$K:$K,"u. caldas",$A:$A,"Viernes")</f>
        <v>0</v>
      </c>
      <c r="AB60" s="247">
        <f>+COUNTIFS($J:$J,"estudiante_externo",$K:$K,"u. caldas",$A:$A,"sábado")</f>
        <v>0</v>
      </c>
      <c r="AC60" s="248">
        <f>+SUMIFS($H:$H,$J:$J,"estudiante_externo",$K:$K,"u. caldas",$A:$A,"sábado")</f>
        <v>0</v>
      </c>
      <c r="AD60" s="257">
        <f t="shared" si="32"/>
        <v>0</v>
      </c>
      <c r="AE60" s="252">
        <f t="shared" si="32"/>
        <v>0</v>
      </c>
      <c r="AF60" s="87"/>
      <c r="AG60" s="296" t="s">
        <v>154</v>
      </c>
      <c r="AH60" s="255">
        <f>+COUNTIFS($J:$J,"ucm",$A:$A,"lunes")</f>
        <v>0</v>
      </c>
      <c r="AI60" s="246">
        <f>+SUMIFS($H:$H,$J:$J,"ucm",$A:$A,"lunes")</f>
        <v>0</v>
      </c>
      <c r="AJ60" s="246">
        <f>+COUNTIFS($J:$J,"ucm",$A:$A,"Martes")</f>
        <v>0</v>
      </c>
      <c r="AK60" s="246">
        <f>+SUMIFS($H:$H,$J:$J,"ucm",$A:$A,"Martes")</f>
        <v>0</v>
      </c>
      <c r="AL60" s="246">
        <f>+COUNTIFS($J:$J,"ucm",$A:$A,"miércoles")</f>
        <v>0</v>
      </c>
      <c r="AM60" s="246">
        <f>+SUMIFS($H:$H,$J:$J,"ucm",$A:$A,"miércoles")</f>
        <v>0</v>
      </c>
      <c r="AN60" s="246">
        <f>+COUNTIFS($J:$J,"ucm",$A:$A,"Jueves")</f>
        <v>0</v>
      </c>
      <c r="AO60" s="246">
        <f>+SUMIFS($H:$H,$J:$J,"ucm",$A:$A,"Jueves")</f>
        <v>0</v>
      </c>
      <c r="AP60" s="246">
        <f>+COUNTIFS($J:$J,"ucm",$A:$A,"viernes")</f>
        <v>0</v>
      </c>
      <c r="AQ60" s="246">
        <f>+SUMIFS($H:$H,$J:$J,"ucm",$A:$A,"viernes")</f>
        <v>0</v>
      </c>
      <c r="AR60" s="246">
        <f>+COUNTIFS($J:$J,"ucm",$A:$A,"sábado")</f>
        <v>0</v>
      </c>
      <c r="AS60" s="258">
        <f>+SUMIFS($H:$H,$J:$J,"ucm",$A:$A,"sábado")</f>
        <v>0</v>
      </c>
      <c r="AT60" s="247">
        <f t="shared" si="33"/>
        <v>0</v>
      </c>
      <c r="AU60" s="248">
        <f t="shared" si="33"/>
        <v>0</v>
      </c>
      <c r="AV60" s="89"/>
      <c r="AW60" s="89"/>
    </row>
    <row r="61" spans="1:49" x14ac:dyDescent="0.2">
      <c r="A61" s="565" t="str">
        <f t="shared" si="31"/>
        <v>sábado</v>
      </c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87"/>
      <c r="N61" s="87"/>
      <c r="O61" s="87"/>
      <c r="P61" s="87"/>
      <c r="Q61" s="270" t="s">
        <v>89</v>
      </c>
      <c r="R61" s="255">
        <f>+COUNTIFS($J:$J,"estudiante_externo",$K:$K,"u. autonoma",$A:$A,"lunes")</f>
        <v>0</v>
      </c>
      <c r="S61" s="248">
        <f>+SUMIFS($H:$H,$J:$J,"estudiante_externo",$K:$K,"u. autonoma",$A:$A,"lunes")</f>
        <v>0</v>
      </c>
      <c r="T61" s="247">
        <f>+COUNTIFS($J:$J,"estudiante_externo",$K:$K,"u. autonoma",$A:$A,"martes")</f>
        <v>0</v>
      </c>
      <c r="U61" s="248">
        <f>+SUMIFS($H:$H,$J:$J,"estudiante_externo",$K:$K,"u. autonoma",$A:$A,"martes")</f>
        <v>0</v>
      </c>
      <c r="V61" s="247">
        <f>+COUNTIFS($J:$J,"estudiante_externo",$K:$K,"u. autonoma",$A:$A,"miércoles")</f>
        <v>0</v>
      </c>
      <c r="W61" s="248">
        <f>+SUMIFS($H:$H,$J:$J,"estudiante_externo",$K:$K,"u. autonoma",$A:$A,"miércoles")</f>
        <v>0</v>
      </c>
      <c r="X61" s="247">
        <f>+COUNTIFS($J:$J,"estudiante_externo",$K:$K,"u. autonoma",$A:$A,"jueves")</f>
        <v>0</v>
      </c>
      <c r="Y61" s="248">
        <f>+SUMIFS($H:$H,$J:$J,"estudiante_externo",$K:$K,"u. autonoma",$A:$A,"jueves")</f>
        <v>0</v>
      </c>
      <c r="Z61" s="247">
        <f>+COUNTIFS($J:$J,"estudiante_externo",$K:$K,"u. autonoma",$A:$A,"Viernes")</f>
        <v>0</v>
      </c>
      <c r="AA61" s="248">
        <f>+SUMIFS($H:$H,$J:$J,"estudiante_externo",$K:$K,"u. autonoma",$A:$A,"Viernes")</f>
        <v>0</v>
      </c>
      <c r="AB61" s="247">
        <f>+COUNTIFS($J:$J,"estudiante_externo",$K:$K,"u. autonoma",$A:$A,"sábado")</f>
        <v>0</v>
      </c>
      <c r="AC61" s="248">
        <f>+SUMIFS($H:$H,$J:$J,"estudiante_externo",$K:$K,"u. autonoma",$A:$A,"sábado")</f>
        <v>0</v>
      </c>
      <c r="AD61" s="257">
        <f t="shared" si="32"/>
        <v>0</v>
      </c>
      <c r="AE61" s="252">
        <f t="shared" si="32"/>
        <v>0</v>
      </c>
      <c r="AF61" s="87"/>
      <c r="AG61" s="296" t="s">
        <v>155</v>
      </c>
      <c r="AH61" s="255">
        <f>+COUNTIFS($J:$J,"convenio",$A:$A,"lunes")</f>
        <v>0</v>
      </c>
      <c r="AI61" s="246">
        <f>+SUMIFS($H:$H,$J:$J,"convenio",$A:$A,"lunes")</f>
        <v>0</v>
      </c>
      <c r="AJ61" s="246">
        <f>+COUNTIFS($J:$J,"convenio",$A:$A,"Martes")</f>
        <v>0</v>
      </c>
      <c r="AK61" s="246">
        <f>+SUMIFS($H:$H,$J:$J,"convenio",$A:$A,"Martes")</f>
        <v>0</v>
      </c>
      <c r="AL61" s="246">
        <f>+COUNTIFS($J:$J,"convenio",$A:$A,"miércoles")</f>
        <v>0</v>
      </c>
      <c r="AM61" s="246">
        <f>+SUMIFS($H:$H,$J:$J,"convenio",$A:$A,"miércoles")</f>
        <v>0</v>
      </c>
      <c r="AN61" s="246">
        <f>+COUNTIFS($J:$J,"convenio",$A:$A,"Jueves")</f>
        <v>0</v>
      </c>
      <c r="AO61" s="246">
        <f>+SUMIFS($H:$H,$J:$J,"convenio",$A:$A,"Jueves")</f>
        <v>0</v>
      </c>
      <c r="AP61" s="246">
        <f>+COUNTIFS($J:$J,"convenio",$A:$A,"viernes")</f>
        <v>0</v>
      </c>
      <c r="AQ61" s="246">
        <f>+SUMIFS($H:$H,$J:$J,"convenio",$A:$A,"viernes")</f>
        <v>0</v>
      </c>
      <c r="AR61" s="246">
        <f>+COUNTIFS($J:$J,"convenio",$A:$A,"sábado")</f>
        <v>0</v>
      </c>
      <c r="AS61" s="258">
        <f>+SUMIFS($H:$H,$J:$J,"convenio",$A:$A,"sábado")</f>
        <v>0</v>
      </c>
      <c r="AT61" s="247">
        <f t="shared" si="33"/>
        <v>0</v>
      </c>
      <c r="AU61" s="248">
        <f t="shared" si="33"/>
        <v>0</v>
      </c>
      <c r="AV61" s="89"/>
      <c r="AW61" s="89"/>
    </row>
    <row r="62" spans="1:49" x14ac:dyDescent="0.2">
      <c r="A62" s="565" t="str">
        <f t="shared" si="31"/>
        <v>sábado</v>
      </c>
      <c r="B62" s="563"/>
      <c r="C62" s="563"/>
      <c r="D62" s="563"/>
      <c r="E62" s="563"/>
      <c r="F62" s="563"/>
      <c r="G62" s="563"/>
      <c r="H62" s="563"/>
      <c r="I62" s="563"/>
      <c r="J62" s="563"/>
      <c r="K62" s="563"/>
      <c r="L62" s="563"/>
      <c r="M62" s="87"/>
      <c r="N62" s="87"/>
      <c r="O62" s="87"/>
      <c r="P62" s="87"/>
      <c r="Q62" s="270" t="s">
        <v>90</v>
      </c>
      <c r="R62" s="255">
        <f>+COUNTIFS($J:$J,"estudiante_externo",$K:$K,"u. remington",$A:$A,"lunes")</f>
        <v>0</v>
      </c>
      <c r="S62" s="248">
        <f>+SUMIFS($H:$H,$J:$J,"estudiante_externo",$K:$K,"u. remington",$A:$A,"lunes")</f>
        <v>0</v>
      </c>
      <c r="T62" s="247">
        <f>+COUNTIFS($J:$J,"estudiante_externo",$K:$K,"u. remington",$A:$A,"martes")</f>
        <v>0</v>
      </c>
      <c r="U62" s="248">
        <f>+SUMIFS($H:$H,$J:$J,"estudiante_externo",$K:$K,"u. remington",$A:$A,"martes")</f>
        <v>0</v>
      </c>
      <c r="V62" s="247">
        <f>+COUNTIFS($J:$J,"estudiante_externo",$K:$K,"u. remington",$A:$A,"miércoles")</f>
        <v>0</v>
      </c>
      <c r="W62" s="248">
        <f>+SUMIFS($H:$H,$J:$J,"estudiante_externo",$K:$K,"u. remington",$A:$A,"miércoles")</f>
        <v>0</v>
      </c>
      <c r="X62" s="247">
        <f>+COUNTIFS($J:$J,"estudiante_externo",$K:$K,"u. remington",$A:$A,"jueves")</f>
        <v>0</v>
      </c>
      <c r="Y62" s="248">
        <f>+SUMIFS($H:$H,$J:$J,"estudiante_externo",$K:$K,"u. remington",$A:$A,"jueves")</f>
        <v>0</v>
      </c>
      <c r="Z62" s="247">
        <f>+COUNTIFS($J:$J,"estudiante_externo",$K:$K,"u. remington",$A:$A,"Viernes")</f>
        <v>0</v>
      </c>
      <c r="AA62" s="248">
        <f>+SUMIFS($H:$H,$J:$J,"estudiante_externo",$K:$K,"u. remington",$A:$A,"Viernes")</f>
        <v>0</v>
      </c>
      <c r="AB62" s="247">
        <f>+COUNTIFS($J:$J,"estudiante_externo",$K:$K,"u. remington",$A:$A,"sábado")</f>
        <v>0</v>
      </c>
      <c r="AC62" s="248">
        <f>+SUMIFS($H:$H,$J:$J,"estudiante_externo",$K:$K,"u. remington",$A:$A,"sábado")</f>
        <v>0</v>
      </c>
      <c r="AD62" s="257">
        <f t="shared" si="32"/>
        <v>0</v>
      </c>
      <c r="AE62" s="252">
        <f t="shared" si="32"/>
        <v>0</v>
      </c>
      <c r="AF62" s="87"/>
      <c r="AG62" s="296" t="s">
        <v>156</v>
      </c>
      <c r="AH62" s="255">
        <f>+COUNTIFS($J:$J,"torneo",$A:$A,"lunes")</f>
        <v>0</v>
      </c>
      <c r="AI62" s="246">
        <f>+SUMIFS($H:$H,$J:$J,"torneo",$A:$A,"lunes")</f>
        <v>0</v>
      </c>
      <c r="AJ62" s="246">
        <f>+COUNTIFS($J:$J,"torneo",$A:$A,"martes")</f>
        <v>0</v>
      </c>
      <c r="AK62" s="246">
        <f>+SUMIFS($H:$H,$J:$J,"torneo",$A:$A,"Martes")</f>
        <v>0</v>
      </c>
      <c r="AL62" s="246">
        <f>+COUNTIFS($J:$J,"torneo",$A:$A,"miércoles")</f>
        <v>0</v>
      </c>
      <c r="AM62" s="246">
        <f>+SUMIFS($H:$H,$J:$J,"torneo",$A:$A,"miércoles")</f>
        <v>0</v>
      </c>
      <c r="AN62" s="246">
        <f>+COUNTIFS($J:$J,"torneo",$A:$A,"Jueves")</f>
        <v>0</v>
      </c>
      <c r="AO62" s="246">
        <f>+SUMIFS($H:$H,$J:$J,"torneo",$A:$A,"Jueves")</f>
        <v>0</v>
      </c>
      <c r="AP62" s="246">
        <f>+COUNTIFS($J:$J,"torneo",$A:$A,"viernes")</f>
        <v>0</v>
      </c>
      <c r="AQ62" s="246">
        <f>+COUNTIFS($J:$J,"torneo",$A:$A,"viernes")</f>
        <v>0</v>
      </c>
      <c r="AR62" s="246">
        <f>+COUNTIFS($J:$J,"torneo",$A:$A,"Sábado")</f>
        <v>0</v>
      </c>
      <c r="AS62" s="258">
        <f>+SUMIFS($H:$H,$J:$J,"torneo",$A:$A,"sábado")</f>
        <v>0</v>
      </c>
      <c r="AT62" s="247">
        <f t="shared" si="33"/>
        <v>0</v>
      </c>
      <c r="AU62" s="248">
        <f t="shared" si="33"/>
        <v>0</v>
      </c>
      <c r="AV62" s="89"/>
      <c r="AW62" s="89"/>
    </row>
    <row r="63" spans="1:49" x14ac:dyDescent="0.2">
      <c r="A63" s="565" t="str">
        <f t="shared" si="31"/>
        <v>sábado</v>
      </c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87"/>
      <c r="N63" s="87"/>
      <c r="O63" s="87"/>
      <c r="P63" s="87"/>
      <c r="Q63" s="270" t="s">
        <v>91</v>
      </c>
      <c r="R63" s="255">
        <f>+COUNTIFS($J:$J,"estudiante_externo",$K:$K,"u. luis amigó",$A:$A,"lunes")</f>
        <v>0</v>
      </c>
      <c r="S63" s="248">
        <f>+SUMIFS($H:$H,$J:$J,"estudiante_externo",$K:$K,"u. luis amigó",$A:$A,"lunes")</f>
        <v>0</v>
      </c>
      <c r="T63" s="247">
        <f>+COUNTIFS($J:$J,"estudiante_externo",$K:$K,"u. luis amigó",$A:$A,"martes")</f>
        <v>0</v>
      </c>
      <c r="U63" s="248">
        <f>+SUMIFS($H:$H,$J:$J,"estudiante_externo",$K:$K,"u. luis amigó",$A:$A,"martes")</f>
        <v>0</v>
      </c>
      <c r="V63" s="247">
        <f>+COUNTIFS($J:$J,"estudiante_externo",$K:$K,"u. luis amigó",$A:$A,"miércoles")</f>
        <v>0</v>
      </c>
      <c r="W63" s="248">
        <f>+SUMIFS($H:$H,$J:$J,"estudiante_externo",$K:$K,"u. luis amigó",$A:$A,"miércoles")</f>
        <v>0</v>
      </c>
      <c r="X63" s="247">
        <f>+COUNTIFS($J:$J,"estudiante_externo",$K:$K,"u. luis amigó",$A:$A,"jueves")</f>
        <v>0</v>
      </c>
      <c r="Y63" s="248">
        <f>+SUMIFS($H:$H,$J:$J,"estudiante_externo",$K:$K,"u. luis amigó",$A:$A,"jueves")</f>
        <v>0</v>
      </c>
      <c r="Z63" s="247">
        <f>+COUNTIFS($J:$J,"estudiante_externo",$K:$K,"u. luis amigó",$A:$A,"Viernes")</f>
        <v>0</v>
      </c>
      <c r="AA63" s="248">
        <f>+SUMIFS($H:$H,$J:$J,"estudiante_externo",$K:$K,"u. luis amigó",$A:$A,"Viernes")</f>
        <v>0</v>
      </c>
      <c r="AB63" s="247">
        <f>+COUNTIFS($J:$J,"estudiante_externo",$K:$K,"u. luis amigó",$A:$A,"sábado")</f>
        <v>0</v>
      </c>
      <c r="AC63" s="248">
        <f>+SUMIFS($H:$H,$J:$J,"estudiante_externo",$K:$K,"u. luis amigó",$A:$A,"sábado")</f>
        <v>0</v>
      </c>
      <c r="AD63" s="257">
        <f t="shared" si="32"/>
        <v>0</v>
      </c>
      <c r="AE63" s="252">
        <f t="shared" si="32"/>
        <v>0</v>
      </c>
      <c r="AF63" s="87"/>
      <c r="AG63" s="296" t="s">
        <v>157</v>
      </c>
      <c r="AH63" s="255">
        <f>+COUNTIFS($J:$J,"pase de cortesia",$A:$A,"lunes")</f>
        <v>0</v>
      </c>
      <c r="AI63" s="246">
        <f>+SUMIFS($H:$H,$J:$J,"pase de cortesia",$A:$A,"lunes")</f>
        <v>0</v>
      </c>
      <c r="AJ63" s="246">
        <f>+COUNTIFS($J:$J,"pase de cortesia",$A:$A,"Martes")</f>
        <v>0</v>
      </c>
      <c r="AK63" s="246">
        <f>+SUMIFS($H:$H,$J:$J,"pase de cortesia",$A:$A,"Martes")</f>
        <v>0</v>
      </c>
      <c r="AL63" s="246">
        <f>+COUNTIFS($J:$J,"pase de cortesia",$A:$A,"miércoles")</f>
        <v>0</v>
      </c>
      <c r="AM63" s="246">
        <f>+SUMIFS($H:$H,$J:$J,"pase de cortesia",$A:$A,"miércoles")</f>
        <v>0</v>
      </c>
      <c r="AN63" s="246">
        <f>+COUNTIFS($J:$J,"pase de cortesia",$A:$A,"Jueves")</f>
        <v>0</v>
      </c>
      <c r="AO63" s="246">
        <f>+SUMIFS($H:$H,$J:$J,"pase de cortesia",$A:$A,"Jueves")</f>
        <v>0</v>
      </c>
      <c r="AP63" s="246">
        <f>+COUNTIFS($J:$J,"pase de cortesia",$A:$A,"viernes")</f>
        <v>0</v>
      </c>
      <c r="AQ63" s="246">
        <f>+SUMIFS($H:$H,$J:$J,"pase de cortesia",$A:$A,"viernes")</f>
        <v>0</v>
      </c>
      <c r="AR63" s="246">
        <f>+COUNTIFS($J:$J,"pase de cortesia",$A:$A,"sábado")</f>
        <v>0</v>
      </c>
      <c r="AS63" s="258">
        <f>+SUMIFS($H:$H,$J:$J,"pase de cortesia",$A:$A,"sábado")</f>
        <v>0</v>
      </c>
      <c r="AT63" s="247">
        <f>+AH63+AJ63+AL63+AN63+AP63+AR63</f>
        <v>0</v>
      </c>
      <c r="AU63" s="248">
        <f t="shared" si="33"/>
        <v>0</v>
      </c>
      <c r="AV63" s="89"/>
      <c r="AW63" s="89"/>
    </row>
    <row r="64" spans="1:49" ht="13.5" thickBot="1" x14ac:dyDescent="0.25">
      <c r="A64" s="565" t="str">
        <f t="shared" si="31"/>
        <v>sábado</v>
      </c>
      <c r="B64" s="563"/>
      <c r="C64" s="563"/>
      <c r="D64" s="563"/>
      <c r="E64" s="563"/>
      <c r="F64" s="563"/>
      <c r="G64" s="563"/>
      <c r="H64" s="563"/>
      <c r="I64" s="563"/>
      <c r="J64" s="563"/>
      <c r="K64" s="563"/>
      <c r="L64" s="563"/>
      <c r="M64" s="87"/>
      <c r="N64" s="87"/>
      <c r="O64" s="87"/>
      <c r="P64" s="87"/>
      <c r="Q64" s="270" t="s">
        <v>122</v>
      </c>
      <c r="R64" s="255">
        <f>+COUNTIFS($J:$J,"estudiante_externo",$K:$K,"colegio",$A:$A,"lunes")</f>
        <v>0</v>
      </c>
      <c r="S64" s="248">
        <f>+SUMIFS($H:$H,$J:$J,"estudiante_externo",$K:$K,"colegio",$A:$A,"lunes")</f>
        <v>0</v>
      </c>
      <c r="T64" s="247">
        <f>+COUNTIFS($J:$J,"estudiante_externo",$K:$K,"colegio",$A:$A,"martes")</f>
        <v>0</v>
      </c>
      <c r="U64" s="248">
        <f>+SUMIFS($H:$H,$J:$J,"estudiante_externo",$K:$K,"colegio",$A:$A,"martes")</f>
        <v>0</v>
      </c>
      <c r="V64" s="247">
        <f>+COUNTIFS($J:$J,"estudiante_externo",$K:$K,"colegio",$A:$A,"miércoles")</f>
        <v>0</v>
      </c>
      <c r="W64" s="248">
        <f>+SUMIFS($H:$H,$J:$J,"estudiante_externo",$K:$K,"colegio",$A:$A,"miércoles")</f>
        <v>0</v>
      </c>
      <c r="X64" s="247">
        <f>+COUNTIFS($J:$J,"estudiante_externo",$K:$K,"colegio",$A:$A,"jueves")</f>
        <v>0</v>
      </c>
      <c r="Y64" s="248">
        <f>+SUMIFS($H:$H,$J:$J,"estudiante_externo",$K:$K,"colegio",$A:$A,"jueves")</f>
        <v>0</v>
      </c>
      <c r="Z64" s="247">
        <f>+COUNTIFS($J:$J,"estudiante_externo",$K:$K,"colegio",$A:$A,"Viernes")</f>
        <v>0</v>
      </c>
      <c r="AA64" s="248">
        <f>+SUMIFS($H:$H,$J:$J,"estudiante_externo",$K:$K,"colegio",$A:$A,"Viernes")</f>
        <v>0</v>
      </c>
      <c r="AB64" s="247">
        <f>+COUNTIFS($J:$J,"estudiante_externo",$K:$K,"colegio",$A:$A,"sábado")</f>
        <v>0</v>
      </c>
      <c r="AC64" s="248">
        <f>+SUMIFS($H:$H,$J:$J,"estudiante_externo",$K:$K,"colegio",$A:$A,"sábado")</f>
        <v>0</v>
      </c>
      <c r="AD64" s="257">
        <f t="shared" si="32"/>
        <v>0</v>
      </c>
      <c r="AE64" s="252">
        <f t="shared" si="32"/>
        <v>0</v>
      </c>
      <c r="AF64" s="87"/>
      <c r="AG64" s="297" t="s">
        <v>158</v>
      </c>
      <c r="AH64" s="256">
        <f>+COUNTIFS($J:$J,"contrato",$A:$A,"lunes")</f>
        <v>0</v>
      </c>
      <c r="AI64" s="250">
        <f>+SUMIFS($H:$H,$J:$J,"contrato",$A:$A,"lunes")</f>
        <v>0</v>
      </c>
      <c r="AJ64" s="250">
        <f>+COUNTIFS($J:$J,"contrato",$A:$A,"Martes")</f>
        <v>0</v>
      </c>
      <c r="AK64" s="250">
        <f>+SUMIFS($H:$H,$J:$J,"contrato",$A:$A,"Martes")</f>
        <v>0</v>
      </c>
      <c r="AL64" s="250">
        <f>+COUNTIFS($J:$J,"contrato",$A:$A,"miércoles")</f>
        <v>0</v>
      </c>
      <c r="AM64" s="250">
        <f>+SUMIFS($H:$H,$J:$J,"contrato",$A:$A,"miércoles")</f>
        <v>0</v>
      </c>
      <c r="AN64" s="250">
        <f>+COUNTIFS($J:$J,"contrato",$A:$A,"Jueves")</f>
        <v>0</v>
      </c>
      <c r="AO64" s="250">
        <f>+SUMIFS($H:$H,$J:$J,"contrato",$A:$A,"Jueves")</f>
        <v>0</v>
      </c>
      <c r="AP64" s="250">
        <f>+COUNTIFS($J:$J,"contrato",$A:$A,"viernes")</f>
        <v>0</v>
      </c>
      <c r="AQ64" s="250">
        <f>+SUMIFS($H:$H,$J:$J,"contrato",$A:$A,"viernes")</f>
        <v>0</v>
      </c>
      <c r="AR64" s="250">
        <f>+COUNTIFS($J:$J,"contrato",$A:$A,"sábado")</f>
        <v>0</v>
      </c>
      <c r="AS64" s="259">
        <f>+SUMIFS($H:$H,$J:$J,"contrato",$A:$A,"sábado")</f>
        <v>0</v>
      </c>
      <c r="AT64" s="249">
        <f>+AH64+AJ64+AL64+AN64+AP64+AR64</f>
        <v>0</v>
      </c>
      <c r="AU64" s="251">
        <f t="shared" si="33"/>
        <v>0</v>
      </c>
      <c r="AV64" s="89"/>
      <c r="AW64" s="89"/>
    </row>
    <row r="65" spans="1:49" ht="13.5" thickBot="1" x14ac:dyDescent="0.25">
      <c r="A65" s="565" t="str">
        <f t="shared" si="31"/>
        <v>sábado</v>
      </c>
      <c r="B65" s="563"/>
      <c r="C65" s="563"/>
      <c r="D65" s="563"/>
      <c r="E65" s="563"/>
      <c r="F65" s="563"/>
      <c r="G65" s="563"/>
      <c r="H65" s="563"/>
      <c r="I65" s="563"/>
      <c r="J65" s="563"/>
      <c r="K65" s="563"/>
      <c r="L65" s="563"/>
      <c r="M65" s="87"/>
      <c r="N65" s="87"/>
      <c r="O65" s="87"/>
      <c r="P65" s="87"/>
      <c r="Q65" s="271" t="s">
        <v>123</v>
      </c>
      <c r="R65" s="256">
        <f>+COUNTIFS($J:$J,"estudiante_externo",$K:$K,"otro",$A:$A,"lunes")</f>
        <v>0</v>
      </c>
      <c r="S65" s="251">
        <f>+SUMIFS($H:$H,$J:$J,"estudiante_externo",$K:$K,"otro",$A:$A,"lunes")</f>
        <v>0</v>
      </c>
      <c r="T65" s="249">
        <f>+COUNTIFS($J:$J,"estudiante_externo",$K:$K,"otro",$A:$A,"martes")</f>
        <v>0</v>
      </c>
      <c r="U65" s="251">
        <f>+SUMIFS($H:$H,$J:$J,"estudiante_externo",$K:$K,"otro",$A:$A,"martes")</f>
        <v>0</v>
      </c>
      <c r="V65" s="249">
        <f>+COUNTIFS($J:$J,"estudiante_externo",$K:$K,"otro",$A:$A,"miércoles")</f>
        <v>0</v>
      </c>
      <c r="W65" s="251">
        <f>+SUMIFS($H:$H,$J:$J,"estudiante_externo",$K:$K,"otro",$A:$A,"miércoles")</f>
        <v>0</v>
      </c>
      <c r="X65" s="249">
        <f>+COUNTIFS($J:$J,"estudiante_externo",$K:$K,"otro",$A:$A,"jueves")</f>
        <v>0</v>
      </c>
      <c r="Y65" s="251">
        <f>+SUMIFS($H:$H,$J:$J,"estudiante_externo",$K:$K,"otro",$A:$A,"jueves")</f>
        <v>0</v>
      </c>
      <c r="Z65" s="249">
        <f>+COUNTIFS($J:$J,"estudiante_externo",$K:$K,"otro",$A:$A,"Viernes")</f>
        <v>0</v>
      </c>
      <c r="AA65" s="251">
        <f>+SUMIFS($H:$H,$J:$J,"estudiante_externo",$K:$K,"otro",$A:$A,"Viernes")</f>
        <v>0</v>
      </c>
      <c r="AB65" s="249">
        <f>+COUNTIFS($J:$J,"estudiante_externo",$K:$K,"otro",$A:$A,"sábado")</f>
        <v>0</v>
      </c>
      <c r="AC65" s="251">
        <f>+SUMIFS($H:$H,$J:$J,"estudiante_externo",$K:$K,"otro",$A:$A,"sábado")</f>
        <v>0</v>
      </c>
      <c r="AD65" s="257">
        <f>+R65+T65+V65+X65+Z65+AB65</f>
        <v>0</v>
      </c>
      <c r="AE65" s="252">
        <f t="shared" si="32"/>
        <v>0</v>
      </c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294">
        <f>SUM(AT58:AT64)</f>
        <v>0</v>
      </c>
      <c r="AU65" s="295">
        <f>SUM(AU58:AU64)</f>
        <v>0</v>
      </c>
      <c r="AV65" s="89"/>
      <c r="AW65" s="89"/>
    </row>
    <row r="66" spans="1:49" ht="13.5" thickBot="1" x14ac:dyDescent="0.25">
      <c r="A66" s="565" t="str">
        <f t="shared" si="31"/>
        <v>sábado</v>
      </c>
      <c r="B66" s="563"/>
      <c r="C66" s="563"/>
      <c r="D66" s="563"/>
      <c r="E66" s="563"/>
      <c r="F66" s="563"/>
      <c r="G66" s="563"/>
      <c r="H66" s="563"/>
      <c r="I66" s="563"/>
      <c r="J66" s="563"/>
      <c r="K66" s="563"/>
      <c r="L66" s="563"/>
      <c r="M66" s="87"/>
      <c r="N66" s="87"/>
      <c r="O66" s="87"/>
      <c r="P66" s="87"/>
      <c r="Q66" s="286" t="s">
        <v>9</v>
      </c>
      <c r="R66" s="287">
        <f>SUM(R58:R65)</f>
        <v>0</v>
      </c>
      <c r="S66" s="287">
        <f t="shared" ref="S66:AE66" si="34">SUM(S58:S65)</f>
        <v>0</v>
      </c>
      <c r="T66" s="287">
        <f t="shared" si="34"/>
        <v>0</v>
      </c>
      <c r="U66" s="287">
        <f t="shared" si="34"/>
        <v>0</v>
      </c>
      <c r="V66" s="287">
        <f t="shared" si="34"/>
        <v>0</v>
      </c>
      <c r="W66" s="287">
        <f t="shared" si="34"/>
        <v>0</v>
      </c>
      <c r="X66" s="287">
        <f t="shared" si="34"/>
        <v>0</v>
      </c>
      <c r="Y66" s="287">
        <f t="shared" si="34"/>
        <v>0</v>
      </c>
      <c r="Z66" s="287">
        <f t="shared" si="34"/>
        <v>0</v>
      </c>
      <c r="AA66" s="287">
        <f t="shared" si="34"/>
        <v>0</v>
      </c>
      <c r="AB66" s="287">
        <f t="shared" si="34"/>
        <v>0</v>
      </c>
      <c r="AC66" s="288">
        <f t="shared" si="34"/>
        <v>0</v>
      </c>
      <c r="AD66" s="289">
        <f t="shared" si="34"/>
        <v>0</v>
      </c>
      <c r="AE66" s="290">
        <f t="shared" si="34"/>
        <v>0</v>
      </c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9"/>
      <c r="AW66" s="89"/>
    </row>
    <row r="67" spans="1:49" x14ac:dyDescent="0.2">
      <c r="A67" s="565" t="str">
        <f t="shared" si="31"/>
        <v>sábado</v>
      </c>
      <c r="B67" s="563"/>
      <c r="C67" s="563"/>
      <c r="D67" s="563"/>
      <c r="E67" s="563"/>
      <c r="F67" s="563"/>
      <c r="G67" s="563"/>
      <c r="H67" s="563"/>
      <c r="I67" s="563"/>
      <c r="J67" s="563"/>
      <c r="K67" s="563"/>
      <c r="L67" s="563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</row>
    <row r="68" spans="1:49" x14ac:dyDescent="0.2">
      <c r="A68" s="565" t="str">
        <f t="shared" si="31"/>
        <v>sábado</v>
      </c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</row>
    <row r="69" spans="1:49" x14ac:dyDescent="0.2">
      <c r="A69" s="565" t="str">
        <f t="shared" si="31"/>
        <v>sábado</v>
      </c>
      <c r="B69" s="563"/>
      <c r="C69" s="563"/>
      <c r="D69" s="563"/>
      <c r="E69" s="563"/>
      <c r="F69" s="563"/>
      <c r="G69" s="563"/>
      <c r="H69" s="563"/>
      <c r="I69" s="563"/>
      <c r="J69" s="563"/>
      <c r="K69" s="563"/>
      <c r="L69" s="563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</row>
    <row r="70" spans="1:49" x14ac:dyDescent="0.2">
      <c r="A70" s="565" t="str">
        <f t="shared" si="31"/>
        <v>sábado</v>
      </c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</row>
    <row r="71" spans="1:49" x14ac:dyDescent="0.2">
      <c r="A71" s="565" t="str">
        <f t="shared" si="31"/>
        <v>sábado</v>
      </c>
      <c r="B71" s="563"/>
      <c r="C71" s="563"/>
      <c r="D71" s="563"/>
      <c r="E71" s="563"/>
      <c r="F71" s="563"/>
      <c r="G71" s="563"/>
      <c r="H71" s="563"/>
      <c r="I71" s="563"/>
      <c r="J71" s="563"/>
      <c r="K71" s="563"/>
      <c r="L71" s="563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</row>
    <row r="72" spans="1:49" x14ac:dyDescent="0.2">
      <c r="A72" s="565" t="str">
        <f t="shared" si="31"/>
        <v>sábado</v>
      </c>
      <c r="B72" s="563"/>
      <c r="C72" s="563"/>
      <c r="D72" s="563"/>
      <c r="E72" s="563"/>
      <c r="F72" s="563"/>
      <c r="G72" s="563"/>
      <c r="H72" s="563"/>
      <c r="I72" s="563"/>
      <c r="J72" s="563"/>
      <c r="K72" s="563"/>
      <c r="L72" s="563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</row>
    <row r="73" spans="1:49" x14ac:dyDescent="0.2">
      <c r="A73" s="565" t="str">
        <f t="shared" ref="A73:A136" si="35">+TEXT(B73,"dddd")</f>
        <v>sábado</v>
      </c>
      <c r="B73" s="563"/>
      <c r="C73" s="563"/>
      <c r="D73" s="563"/>
      <c r="E73" s="563"/>
      <c r="F73" s="563"/>
      <c r="G73" s="563"/>
      <c r="H73" s="563"/>
      <c r="I73" s="563"/>
      <c r="J73" s="563"/>
      <c r="K73" s="563"/>
      <c r="L73" s="563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</row>
    <row r="74" spans="1:49" x14ac:dyDescent="0.2">
      <c r="A74" s="565" t="str">
        <f t="shared" si="35"/>
        <v>sábado</v>
      </c>
      <c r="B74" s="563"/>
      <c r="C74" s="563"/>
      <c r="D74" s="563"/>
      <c r="E74" s="563"/>
      <c r="F74" s="563"/>
      <c r="G74" s="563"/>
      <c r="H74" s="563"/>
      <c r="I74" s="563"/>
      <c r="J74" s="563"/>
      <c r="K74" s="563"/>
      <c r="L74" s="563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</row>
    <row r="75" spans="1:49" x14ac:dyDescent="0.2">
      <c r="A75" s="565" t="str">
        <f t="shared" si="35"/>
        <v>sábado</v>
      </c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</row>
    <row r="76" spans="1:49" x14ac:dyDescent="0.2">
      <c r="A76" s="565" t="str">
        <f t="shared" si="35"/>
        <v>sábado</v>
      </c>
      <c r="B76" s="563"/>
      <c r="C76" s="563"/>
      <c r="D76" s="563"/>
      <c r="E76" s="563"/>
      <c r="F76" s="563"/>
      <c r="G76" s="563"/>
      <c r="H76" s="563"/>
      <c r="I76" s="563"/>
      <c r="J76" s="563"/>
      <c r="K76" s="563"/>
      <c r="L76" s="563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</row>
    <row r="77" spans="1:49" x14ac:dyDescent="0.2">
      <c r="A77" s="565" t="str">
        <f t="shared" si="35"/>
        <v>sábado</v>
      </c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</row>
    <row r="78" spans="1:49" x14ac:dyDescent="0.2">
      <c r="A78" s="565" t="str">
        <f t="shared" si="35"/>
        <v>sábado</v>
      </c>
      <c r="B78" s="563"/>
      <c r="C78" s="563"/>
      <c r="D78" s="563"/>
      <c r="E78" s="563"/>
      <c r="F78" s="563"/>
      <c r="G78" s="563"/>
      <c r="H78" s="563"/>
      <c r="I78" s="563"/>
      <c r="J78" s="563"/>
      <c r="K78" s="563"/>
      <c r="L78" s="563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</row>
    <row r="79" spans="1:49" x14ac:dyDescent="0.2">
      <c r="A79" s="565" t="str">
        <f t="shared" si="35"/>
        <v>sábado</v>
      </c>
      <c r="B79" s="563"/>
      <c r="C79" s="563"/>
      <c r="D79" s="563"/>
      <c r="E79" s="563"/>
      <c r="F79" s="563"/>
      <c r="G79" s="563"/>
      <c r="H79" s="563"/>
      <c r="I79" s="563"/>
      <c r="J79" s="563"/>
      <c r="K79" s="563"/>
      <c r="L79" s="563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</row>
    <row r="80" spans="1:49" x14ac:dyDescent="0.2">
      <c r="A80" s="565" t="str">
        <f t="shared" si="35"/>
        <v>sábado</v>
      </c>
      <c r="B80" s="563"/>
      <c r="C80" s="563"/>
      <c r="D80" s="563"/>
      <c r="E80" s="563"/>
      <c r="F80" s="563"/>
      <c r="G80" s="563"/>
      <c r="H80" s="563"/>
      <c r="I80" s="563"/>
      <c r="J80" s="563"/>
      <c r="K80" s="563"/>
      <c r="L80" s="563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</row>
    <row r="81" spans="1:49" x14ac:dyDescent="0.2">
      <c r="A81" s="565" t="str">
        <f t="shared" si="35"/>
        <v>sábado</v>
      </c>
      <c r="B81" s="563"/>
      <c r="C81" s="563"/>
      <c r="D81" s="563"/>
      <c r="E81" s="563"/>
      <c r="F81" s="563"/>
      <c r="G81" s="563"/>
      <c r="H81" s="563"/>
      <c r="I81" s="563"/>
      <c r="J81" s="563"/>
      <c r="K81" s="563"/>
      <c r="L81" s="563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</row>
    <row r="82" spans="1:49" x14ac:dyDescent="0.2">
      <c r="A82" s="565" t="str">
        <f t="shared" si="35"/>
        <v>sábado</v>
      </c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</row>
    <row r="83" spans="1:49" x14ac:dyDescent="0.2">
      <c r="A83" s="565" t="str">
        <f t="shared" si="35"/>
        <v>sábado</v>
      </c>
      <c r="B83" s="309"/>
      <c r="C83" s="563"/>
      <c r="D83" s="309"/>
      <c r="E83" s="309"/>
      <c r="F83" s="309"/>
      <c r="G83" s="309"/>
      <c r="H83" s="309"/>
      <c r="I83" s="309"/>
      <c r="J83" s="594"/>
      <c r="K83" s="563"/>
      <c r="L83" s="246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</row>
    <row r="84" spans="1:49" x14ac:dyDescent="0.2">
      <c r="A84" s="565" t="str">
        <f t="shared" si="35"/>
        <v>sábado</v>
      </c>
      <c r="B84" s="309"/>
      <c r="C84" s="563"/>
      <c r="D84" s="309"/>
      <c r="E84" s="309"/>
      <c r="F84" s="309"/>
      <c r="G84" s="309"/>
      <c r="H84" s="309"/>
      <c r="I84" s="309"/>
      <c r="J84" s="594"/>
      <c r="K84" s="563"/>
      <c r="L84" s="246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</row>
    <row r="85" spans="1:49" x14ac:dyDescent="0.2">
      <c r="A85" s="565" t="str">
        <f t="shared" si="35"/>
        <v>sábado</v>
      </c>
      <c r="B85" s="309"/>
      <c r="C85" s="563"/>
      <c r="D85" s="309"/>
      <c r="E85" s="309"/>
      <c r="F85" s="246"/>
      <c r="G85" s="309"/>
      <c r="H85" s="309"/>
      <c r="I85" s="309"/>
      <c r="J85" s="594"/>
      <c r="K85" s="563"/>
      <c r="L85" s="246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</row>
    <row r="86" spans="1:49" x14ac:dyDescent="0.2">
      <c r="A86" s="565" t="str">
        <f t="shared" si="35"/>
        <v>sábado</v>
      </c>
      <c r="B86" s="309"/>
      <c r="C86" s="563"/>
      <c r="D86" s="309"/>
      <c r="E86" s="309"/>
      <c r="F86" s="246"/>
      <c r="G86" s="309"/>
      <c r="H86" s="309"/>
      <c r="I86" s="309"/>
      <c r="J86" s="594"/>
      <c r="K86" s="563"/>
      <c r="L86" s="246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</row>
    <row r="87" spans="1:49" x14ac:dyDescent="0.2">
      <c r="A87" s="565" t="str">
        <f t="shared" si="35"/>
        <v>sábado</v>
      </c>
      <c r="B87" s="309"/>
      <c r="C87" s="563"/>
      <c r="D87" s="309"/>
      <c r="E87" s="309"/>
      <c r="F87" s="246"/>
      <c r="G87" s="309"/>
      <c r="H87" s="309"/>
      <c r="I87" s="309"/>
      <c r="J87" s="594"/>
      <c r="K87" s="563"/>
      <c r="L87" s="246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</row>
    <row r="88" spans="1:49" x14ac:dyDescent="0.2">
      <c r="A88" s="565" t="str">
        <f t="shared" si="35"/>
        <v>sábado</v>
      </c>
      <c r="B88" s="309"/>
      <c r="C88" s="563"/>
      <c r="D88" s="309"/>
      <c r="E88" s="309"/>
      <c r="F88" s="309"/>
      <c r="G88" s="309"/>
      <c r="H88" s="309"/>
      <c r="I88" s="309"/>
      <c r="J88" s="594"/>
      <c r="K88" s="563"/>
      <c r="L88" s="246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</row>
    <row r="89" spans="1:49" x14ac:dyDescent="0.2">
      <c r="A89" s="565" t="str">
        <f t="shared" si="35"/>
        <v>sábado</v>
      </c>
      <c r="B89" s="309"/>
      <c r="C89" s="563"/>
      <c r="D89" s="309"/>
      <c r="E89" s="309"/>
      <c r="F89" s="309"/>
      <c r="G89" s="309"/>
      <c r="H89" s="309"/>
      <c r="I89" s="309"/>
      <c r="J89" s="594"/>
      <c r="K89" s="563"/>
      <c r="L89" s="24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</row>
    <row r="90" spans="1:49" x14ac:dyDescent="0.2">
      <c r="A90" s="565" t="str">
        <f t="shared" si="35"/>
        <v>sábado</v>
      </c>
      <c r="B90" s="309"/>
      <c r="C90" s="563"/>
      <c r="D90" s="309"/>
      <c r="E90" s="309"/>
      <c r="F90" s="309"/>
      <c r="G90" s="309"/>
      <c r="H90" s="309"/>
      <c r="I90" s="309"/>
      <c r="J90" s="594"/>
      <c r="K90" s="563"/>
      <c r="L90" s="246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</row>
    <row r="91" spans="1:49" x14ac:dyDescent="0.2">
      <c r="A91" s="565" t="str">
        <f t="shared" si="35"/>
        <v>sábado</v>
      </c>
      <c r="B91" s="309"/>
      <c r="C91" s="563"/>
      <c r="D91" s="309"/>
      <c r="E91" s="309"/>
      <c r="F91" s="309"/>
      <c r="G91" s="309"/>
      <c r="H91" s="309"/>
      <c r="I91" s="309"/>
      <c r="J91" s="594"/>
      <c r="K91" s="563"/>
      <c r="L91" s="246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</row>
    <row r="92" spans="1:49" x14ac:dyDescent="0.2">
      <c r="A92" s="565" t="str">
        <f t="shared" si="35"/>
        <v>sábado</v>
      </c>
      <c r="B92" s="309"/>
      <c r="C92" s="563"/>
      <c r="D92" s="309"/>
      <c r="E92" s="309"/>
      <c r="F92" s="309"/>
      <c r="G92" s="309"/>
      <c r="H92" s="309"/>
      <c r="I92" s="309"/>
      <c r="J92" s="594"/>
      <c r="K92" s="563"/>
      <c r="L92" s="246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</row>
    <row r="93" spans="1:49" x14ac:dyDescent="0.2">
      <c r="A93" s="565" t="str">
        <f t="shared" si="35"/>
        <v>sábado</v>
      </c>
      <c r="B93" s="309"/>
      <c r="C93" s="563"/>
      <c r="D93" s="309"/>
      <c r="E93" s="309"/>
      <c r="F93" s="309"/>
      <c r="G93" s="309"/>
      <c r="H93" s="309"/>
      <c r="I93" s="309"/>
      <c r="J93" s="594"/>
      <c r="K93" s="563"/>
      <c r="L93" s="246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</row>
    <row r="94" spans="1:49" x14ac:dyDescent="0.2">
      <c r="A94" s="565" t="str">
        <f t="shared" si="35"/>
        <v>sábado</v>
      </c>
      <c r="B94" s="309"/>
      <c r="C94" s="563"/>
      <c r="D94" s="309"/>
      <c r="E94" s="309"/>
      <c r="F94" s="309"/>
      <c r="G94" s="309"/>
      <c r="H94" s="309"/>
      <c r="I94" s="309"/>
      <c r="J94" s="594"/>
      <c r="K94" s="563"/>
      <c r="L94" s="246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</row>
    <row r="95" spans="1:49" x14ac:dyDescent="0.2">
      <c r="A95" s="565" t="str">
        <f t="shared" si="35"/>
        <v>sábado</v>
      </c>
      <c r="B95" s="309"/>
      <c r="C95" s="563"/>
      <c r="D95" s="309"/>
      <c r="E95" s="309"/>
      <c r="F95" s="309"/>
      <c r="G95" s="309"/>
      <c r="H95" s="309"/>
      <c r="I95" s="309"/>
      <c r="J95" s="594"/>
      <c r="K95" s="563"/>
      <c r="L95" s="246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</row>
    <row r="96" spans="1:49" x14ac:dyDescent="0.2">
      <c r="A96" s="565" t="str">
        <f t="shared" si="35"/>
        <v>sábado</v>
      </c>
      <c r="B96" s="309"/>
      <c r="C96" s="563"/>
      <c r="D96" s="309"/>
      <c r="E96" s="309"/>
      <c r="F96" s="309"/>
      <c r="G96" s="309"/>
      <c r="H96" s="309"/>
      <c r="I96" s="309"/>
      <c r="J96" s="594"/>
      <c r="K96" s="563"/>
      <c r="L96" s="246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</row>
    <row r="97" spans="1:49" x14ac:dyDescent="0.2">
      <c r="A97" s="565" t="str">
        <f t="shared" si="35"/>
        <v>sábado</v>
      </c>
      <c r="B97" s="309"/>
      <c r="C97" s="563"/>
      <c r="D97" s="309"/>
      <c r="E97" s="309"/>
      <c r="F97" s="309"/>
      <c r="G97" s="309"/>
      <c r="H97" s="309"/>
      <c r="I97" s="309"/>
      <c r="J97" s="594"/>
      <c r="K97" s="563"/>
      <c r="L97" s="24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</row>
    <row r="98" spans="1:49" x14ac:dyDescent="0.2">
      <c r="A98" s="565" t="str">
        <f t="shared" si="35"/>
        <v>sábado</v>
      </c>
      <c r="B98" s="309"/>
      <c r="C98" s="563"/>
      <c r="D98" s="309"/>
      <c r="E98" s="309"/>
      <c r="F98" s="309"/>
      <c r="G98" s="309"/>
      <c r="H98" s="309"/>
      <c r="I98" s="309"/>
      <c r="J98" s="594"/>
      <c r="K98" s="563"/>
      <c r="L98" s="246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</row>
    <row r="99" spans="1:49" x14ac:dyDescent="0.2">
      <c r="A99" s="565" t="str">
        <f t="shared" si="35"/>
        <v>sábado</v>
      </c>
      <c r="B99" s="309"/>
      <c r="C99" s="563"/>
      <c r="D99" s="309"/>
      <c r="E99" s="309"/>
      <c r="F99" s="309"/>
      <c r="G99" s="309"/>
      <c r="H99" s="309"/>
      <c r="I99" s="309"/>
      <c r="J99" s="594"/>
      <c r="K99" s="563"/>
      <c r="L99" s="246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</row>
    <row r="100" spans="1:49" x14ac:dyDescent="0.2">
      <c r="A100" s="565" t="str">
        <f t="shared" si="35"/>
        <v>sábado</v>
      </c>
      <c r="B100" s="309"/>
      <c r="C100" s="563"/>
      <c r="D100" s="309"/>
      <c r="E100" s="309"/>
      <c r="F100" s="309"/>
      <c r="G100" s="309"/>
      <c r="H100" s="309"/>
      <c r="I100" s="309"/>
      <c r="J100" s="594"/>
      <c r="K100" s="563"/>
      <c r="L100" s="246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</row>
    <row r="101" spans="1:49" x14ac:dyDescent="0.2">
      <c r="A101" s="565" t="str">
        <f t="shared" si="35"/>
        <v>sábado</v>
      </c>
      <c r="B101" s="309"/>
      <c r="C101" s="563"/>
      <c r="D101" s="309"/>
      <c r="E101" s="309"/>
      <c r="F101" s="309"/>
      <c r="G101" s="309"/>
      <c r="H101" s="309"/>
      <c r="I101" s="309"/>
      <c r="J101" s="594"/>
      <c r="K101" s="563"/>
      <c r="L101" s="246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</row>
    <row r="102" spans="1:49" x14ac:dyDescent="0.2">
      <c r="A102" s="565" t="str">
        <f t="shared" si="35"/>
        <v>sábado</v>
      </c>
      <c r="B102" s="309"/>
      <c r="C102" s="563"/>
      <c r="D102" s="309"/>
      <c r="E102" s="309"/>
      <c r="F102" s="309"/>
      <c r="G102" s="309"/>
      <c r="H102" s="309"/>
      <c r="I102" s="309"/>
      <c r="J102" s="594"/>
      <c r="K102" s="563"/>
      <c r="L102" s="246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</row>
    <row r="103" spans="1:49" x14ac:dyDescent="0.2">
      <c r="A103" s="565" t="str">
        <f t="shared" si="35"/>
        <v>sábado</v>
      </c>
      <c r="B103" s="309"/>
      <c r="C103" s="563"/>
      <c r="D103" s="309"/>
      <c r="E103" s="309"/>
      <c r="F103" s="309"/>
      <c r="G103" s="309"/>
      <c r="H103" s="309"/>
      <c r="I103" s="309"/>
      <c r="J103" s="594"/>
      <c r="K103" s="563"/>
      <c r="L103" s="246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</row>
    <row r="104" spans="1:49" x14ac:dyDescent="0.2">
      <c r="A104" s="565" t="str">
        <f t="shared" si="35"/>
        <v>sábado</v>
      </c>
      <c r="B104" s="632"/>
      <c r="C104" s="563"/>
      <c r="D104" s="309"/>
      <c r="E104" s="309"/>
      <c r="F104" s="309"/>
      <c r="G104" s="309"/>
      <c r="H104" s="309"/>
      <c r="I104" s="309"/>
      <c r="J104" s="594"/>
      <c r="K104" s="563"/>
      <c r="L104" s="246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</row>
    <row r="105" spans="1:49" x14ac:dyDescent="0.2">
      <c r="A105" s="565" t="str">
        <f t="shared" si="35"/>
        <v>sábado</v>
      </c>
      <c r="B105" s="309"/>
      <c r="C105" s="563"/>
      <c r="D105" s="309"/>
      <c r="E105" s="309"/>
      <c r="F105" s="309"/>
      <c r="G105" s="309"/>
      <c r="H105" s="309"/>
      <c r="I105" s="309"/>
      <c r="J105" s="594"/>
      <c r="K105" s="563"/>
      <c r="L105" s="246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</row>
    <row r="106" spans="1:49" x14ac:dyDescent="0.2">
      <c r="A106" s="565" t="str">
        <f t="shared" si="35"/>
        <v>sábado</v>
      </c>
      <c r="B106" s="309"/>
      <c r="C106" s="563"/>
      <c r="D106" s="309"/>
      <c r="E106" s="309"/>
      <c r="F106" s="309"/>
      <c r="G106" s="309"/>
      <c r="H106" s="309"/>
      <c r="I106" s="309"/>
      <c r="J106" s="594"/>
      <c r="K106" s="563"/>
      <c r="L106" s="246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</row>
    <row r="107" spans="1:49" x14ac:dyDescent="0.2">
      <c r="A107" s="565" t="str">
        <f t="shared" si="35"/>
        <v>sábado</v>
      </c>
      <c r="B107" s="309"/>
      <c r="C107" s="563"/>
      <c r="D107" s="309"/>
      <c r="E107" s="309"/>
      <c r="F107" s="309"/>
      <c r="G107" s="309"/>
      <c r="H107" s="309"/>
      <c r="I107" s="309"/>
      <c r="J107" s="594"/>
      <c r="K107" s="563"/>
      <c r="L107" s="246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</row>
    <row r="108" spans="1:49" x14ac:dyDescent="0.2">
      <c r="A108" s="565" t="str">
        <f t="shared" si="35"/>
        <v>sábado</v>
      </c>
      <c r="B108" s="309"/>
      <c r="C108" s="563"/>
      <c r="D108" s="309"/>
      <c r="E108" s="309"/>
      <c r="F108" s="309"/>
      <c r="G108" s="309"/>
      <c r="H108" s="309"/>
      <c r="I108" s="309"/>
      <c r="J108" s="594"/>
      <c r="K108" s="563"/>
      <c r="L108" s="246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</row>
    <row r="109" spans="1:49" x14ac:dyDescent="0.2">
      <c r="A109" s="565" t="str">
        <f t="shared" si="35"/>
        <v>sábado</v>
      </c>
      <c r="B109" s="309"/>
      <c r="C109" s="633"/>
      <c r="D109" s="309"/>
      <c r="E109" s="564"/>
      <c r="F109" s="309"/>
      <c r="G109" s="564"/>
      <c r="H109" s="564"/>
      <c r="I109" s="309"/>
      <c r="J109" s="594"/>
      <c r="K109" s="563"/>
      <c r="L109" s="246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</row>
    <row r="110" spans="1:49" x14ac:dyDescent="0.2">
      <c r="A110" s="565" t="str">
        <f t="shared" si="35"/>
        <v>sábado</v>
      </c>
      <c r="B110" s="309"/>
      <c r="C110" s="563"/>
      <c r="D110" s="309"/>
      <c r="E110" s="309"/>
      <c r="F110" s="309"/>
      <c r="G110" s="309"/>
      <c r="H110" s="309"/>
      <c r="I110" s="309"/>
      <c r="J110" s="594"/>
      <c r="K110" s="563"/>
      <c r="L110" s="246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</row>
    <row r="111" spans="1:49" x14ac:dyDescent="0.2">
      <c r="A111" s="565" t="str">
        <f t="shared" si="35"/>
        <v>sábado</v>
      </c>
      <c r="B111" s="309"/>
      <c r="C111" s="563"/>
      <c r="D111" s="309"/>
      <c r="E111" s="309"/>
      <c r="F111" s="309"/>
      <c r="G111" s="309"/>
      <c r="H111" s="309"/>
      <c r="I111" s="309"/>
      <c r="J111" s="594"/>
      <c r="K111" s="563"/>
      <c r="L111" s="246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</row>
    <row r="112" spans="1:49" x14ac:dyDescent="0.2">
      <c r="A112" s="565" t="str">
        <f t="shared" si="35"/>
        <v>sábado</v>
      </c>
      <c r="B112" s="309"/>
      <c r="C112" s="563"/>
      <c r="D112" s="309"/>
      <c r="E112" s="309"/>
      <c r="F112" s="309"/>
      <c r="G112" s="309"/>
      <c r="H112" s="309"/>
      <c r="I112" s="309"/>
      <c r="J112" s="594"/>
      <c r="K112" s="563"/>
      <c r="L112" s="24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</row>
    <row r="113" spans="1:49" x14ac:dyDescent="0.2">
      <c r="A113" s="565" t="str">
        <f t="shared" si="35"/>
        <v>sábado</v>
      </c>
      <c r="B113" s="309"/>
      <c r="C113" s="563"/>
      <c r="D113" s="309"/>
      <c r="E113" s="309"/>
      <c r="F113" s="309"/>
      <c r="G113" s="309"/>
      <c r="H113" s="309"/>
      <c r="I113" s="309"/>
      <c r="J113" s="594"/>
      <c r="K113" s="563"/>
      <c r="L113" s="246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</row>
    <row r="114" spans="1:49" x14ac:dyDescent="0.2">
      <c r="A114" s="565" t="str">
        <f t="shared" si="35"/>
        <v>sábado</v>
      </c>
      <c r="B114" s="309"/>
      <c r="C114" s="563"/>
      <c r="D114" s="309"/>
      <c r="E114" s="309"/>
      <c r="F114" s="309"/>
      <c r="G114" s="309"/>
      <c r="H114" s="309"/>
      <c r="I114" s="309"/>
      <c r="J114" s="594"/>
      <c r="K114" s="563"/>
      <c r="L114" s="246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</row>
    <row r="115" spans="1:49" x14ac:dyDescent="0.2">
      <c r="A115" s="565" t="str">
        <f t="shared" si="35"/>
        <v>sábado</v>
      </c>
      <c r="B115" s="309"/>
      <c r="C115" s="563"/>
      <c r="D115" s="309"/>
      <c r="E115" s="309"/>
      <c r="F115" s="309"/>
      <c r="G115" s="309"/>
      <c r="H115" s="309"/>
      <c r="I115" s="309"/>
      <c r="J115" s="594"/>
      <c r="K115" s="563"/>
      <c r="L115" s="246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</row>
    <row r="116" spans="1:49" x14ac:dyDescent="0.2">
      <c r="A116" s="565" t="str">
        <f t="shared" si="35"/>
        <v>sábado</v>
      </c>
      <c r="B116" s="309"/>
      <c r="C116" s="563"/>
      <c r="D116" s="309"/>
      <c r="E116" s="309"/>
      <c r="F116" s="309"/>
      <c r="G116" s="309"/>
      <c r="H116" s="309"/>
      <c r="I116" s="309"/>
      <c r="J116" s="594"/>
      <c r="K116" s="563"/>
      <c r="L116" s="246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</row>
    <row r="117" spans="1:49" x14ac:dyDescent="0.2">
      <c r="A117" s="565" t="str">
        <f t="shared" si="35"/>
        <v>sábado</v>
      </c>
      <c r="B117" s="309"/>
      <c r="C117" s="563"/>
      <c r="D117" s="309"/>
      <c r="E117" s="309"/>
      <c r="F117" s="309"/>
      <c r="G117" s="309"/>
      <c r="H117" s="309"/>
      <c r="I117" s="309"/>
      <c r="J117" s="594"/>
      <c r="K117" s="563"/>
      <c r="L117" s="246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</row>
    <row r="118" spans="1:49" x14ac:dyDescent="0.2">
      <c r="A118" s="565" t="str">
        <f t="shared" si="35"/>
        <v>sábado</v>
      </c>
      <c r="B118" s="309"/>
      <c r="C118" s="563"/>
      <c r="D118" s="309"/>
      <c r="E118" s="309"/>
      <c r="F118" s="309"/>
      <c r="G118" s="309"/>
      <c r="H118" s="309"/>
      <c r="I118" s="309"/>
      <c r="J118" s="594"/>
      <c r="K118" s="563"/>
      <c r="L118" s="246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</row>
    <row r="119" spans="1:49" x14ac:dyDescent="0.2">
      <c r="A119" s="565" t="str">
        <f t="shared" si="35"/>
        <v>sábado</v>
      </c>
      <c r="B119" s="309"/>
      <c r="C119" s="563"/>
      <c r="D119" s="309"/>
      <c r="E119" s="309"/>
      <c r="F119" s="309"/>
      <c r="G119" s="309"/>
      <c r="H119" s="309"/>
      <c r="I119" s="309"/>
      <c r="J119" s="594"/>
      <c r="K119" s="563"/>
      <c r="L119" s="246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</row>
    <row r="120" spans="1:49" x14ac:dyDescent="0.2">
      <c r="A120" s="565" t="str">
        <f t="shared" si="35"/>
        <v>sábado</v>
      </c>
      <c r="B120" s="309"/>
      <c r="C120" s="563"/>
      <c r="D120" s="309"/>
      <c r="E120" s="309"/>
      <c r="F120" s="309"/>
      <c r="G120" s="309"/>
      <c r="H120" s="309"/>
      <c r="I120" s="309"/>
      <c r="J120" s="594"/>
      <c r="K120" s="563"/>
      <c r="L120" s="24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</row>
    <row r="121" spans="1:49" x14ac:dyDescent="0.2">
      <c r="A121" s="565" t="str">
        <f t="shared" si="35"/>
        <v>sábado</v>
      </c>
      <c r="B121" s="309"/>
      <c r="C121" s="563"/>
      <c r="D121" s="309"/>
      <c r="E121" s="309"/>
      <c r="F121" s="309"/>
      <c r="G121" s="309"/>
      <c r="H121" s="309"/>
      <c r="I121" s="309"/>
      <c r="J121" s="594"/>
      <c r="K121" s="563"/>
      <c r="L121" s="246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</row>
    <row r="122" spans="1:49" x14ac:dyDescent="0.2">
      <c r="A122" s="565" t="str">
        <f t="shared" si="35"/>
        <v>sábado</v>
      </c>
      <c r="B122" s="309"/>
      <c r="C122" s="563"/>
      <c r="D122" s="309"/>
      <c r="E122" s="309"/>
      <c r="F122" s="309"/>
      <c r="G122" s="309"/>
      <c r="H122" s="309"/>
      <c r="I122" s="309"/>
      <c r="J122" s="594"/>
      <c r="K122" s="563"/>
      <c r="L122" s="246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</row>
    <row r="123" spans="1:49" x14ac:dyDescent="0.2">
      <c r="A123" s="565" t="str">
        <f t="shared" si="35"/>
        <v>sábado</v>
      </c>
      <c r="B123" s="309"/>
      <c r="C123" s="563"/>
      <c r="D123" s="309"/>
      <c r="E123" s="309"/>
      <c r="F123" s="309"/>
      <c r="G123" s="309"/>
      <c r="H123" s="309"/>
      <c r="I123" s="309"/>
      <c r="J123" s="594"/>
      <c r="K123" s="563"/>
      <c r="L123" s="246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</row>
    <row r="124" spans="1:49" x14ac:dyDescent="0.2">
      <c r="A124" s="565" t="str">
        <f t="shared" si="35"/>
        <v>sábado</v>
      </c>
      <c r="B124" s="309"/>
      <c r="C124" s="563"/>
      <c r="D124" s="309"/>
      <c r="E124" s="309"/>
      <c r="F124" s="309"/>
      <c r="G124" s="309"/>
      <c r="H124" s="309"/>
      <c r="I124" s="309"/>
      <c r="J124" s="594"/>
      <c r="K124" s="563"/>
      <c r="L124" s="246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</row>
    <row r="125" spans="1:49" x14ac:dyDescent="0.2">
      <c r="A125" s="565" t="str">
        <f t="shared" si="35"/>
        <v>sábado</v>
      </c>
      <c r="B125" s="309"/>
      <c r="C125" s="563"/>
      <c r="D125" s="309"/>
      <c r="E125" s="309"/>
      <c r="F125" s="309"/>
      <c r="G125" s="309"/>
      <c r="H125" s="309"/>
      <c r="I125" s="309"/>
      <c r="J125" s="594"/>
      <c r="K125" s="563"/>
      <c r="L125" s="246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</row>
    <row r="126" spans="1:49" x14ac:dyDescent="0.2">
      <c r="A126" s="565" t="str">
        <f t="shared" si="35"/>
        <v>sábado</v>
      </c>
      <c r="B126" s="309"/>
      <c r="C126" s="563"/>
      <c r="D126" s="309"/>
      <c r="E126" s="309"/>
      <c r="F126" s="309"/>
      <c r="G126" s="309"/>
      <c r="H126" s="309"/>
      <c r="I126" s="309"/>
      <c r="J126" s="594"/>
      <c r="K126" s="563"/>
      <c r="L126" s="246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</row>
    <row r="127" spans="1:49" x14ac:dyDescent="0.2">
      <c r="A127" s="565" t="str">
        <f t="shared" si="35"/>
        <v>sábado</v>
      </c>
      <c r="B127" s="309"/>
      <c r="C127" s="563"/>
      <c r="D127" s="309"/>
      <c r="E127" s="309"/>
      <c r="F127" s="309"/>
      <c r="G127" s="309"/>
      <c r="H127" s="309"/>
      <c r="I127" s="309"/>
      <c r="J127" s="594"/>
      <c r="K127" s="563"/>
      <c r="L127" s="246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</row>
    <row r="128" spans="1:49" x14ac:dyDescent="0.2">
      <c r="A128" s="565" t="str">
        <f t="shared" si="35"/>
        <v>sábado</v>
      </c>
      <c r="B128" s="309"/>
      <c r="C128" s="563"/>
      <c r="D128" s="309"/>
      <c r="E128" s="309"/>
      <c r="F128" s="309"/>
      <c r="G128" s="309"/>
      <c r="H128" s="309"/>
      <c r="I128" s="309"/>
      <c r="J128" s="594"/>
      <c r="K128" s="563"/>
      <c r="L128" s="246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</row>
    <row r="129" spans="1:49" x14ac:dyDescent="0.2">
      <c r="A129" s="565" t="str">
        <f t="shared" si="35"/>
        <v>sábado</v>
      </c>
      <c r="B129" s="309"/>
      <c r="C129" s="563"/>
      <c r="D129" s="309"/>
      <c r="E129" s="309"/>
      <c r="F129" s="309"/>
      <c r="G129" s="309"/>
      <c r="H129" s="309"/>
      <c r="I129" s="309"/>
      <c r="J129" s="594"/>
      <c r="K129" s="563"/>
      <c r="L129" s="246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</row>
    <row r="130" spans="1:49" x14ac:dyDescent="0.2">
      <c r="A130" s="565" t="str">
        <f t="shared" si="35"/>
        <v>sábado</v>
      </c>
      <c r="B130" s="309"/>
      <c r="C130" s="563"/>
      <c r="D130" s="309"/>
      <c r="E130" s="309"/>
      <c r="F130" s="309"/>
      <c r="G130" s="309"/>
      <c r="H130" s="309"/>
      <c r="I130" s="309"/>
      <c r="J130" s="594"/>
      <c r="K130" s="563"/>
      <c r="L130" s="246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</row>
    <row r="131" spans="1:49" x14ac:dyDescent="0.2">
      <c r="A131" s="565" t="str">
        <f t="shared" si="35"/>
        <v>sábado</v>
      </c>
      <c r="B131" s="309"/>
      <c r="C131" s="563"/>
      <c r="D131" s="309"/>
      <c r="E131" s="309"/>
      <c r="F131" s="309"/>
      <c r="G131" s="309"/>
      <c r="H131" s="309"/>
      <c r="I131" s="309"/>
      <c r="J131" s="594"/>
      <c r="K131" s="563"/>
      <c r="L131" s="246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</row>
    <row r="132" spans="1:49" x14ac:dyDescent="0.2">
      <c r="A132" s="565" t="str">
        <f t="shared" si="35"/>
        <v>sábado</v>
      </c>
      <c r="B132" s="309"/>
      <c r="C132" s="563"/>
      <c r="D132" s="309"/>
      <c r="E132" s="309"/>
      <c r="F132" s="309"/>
      <c r="G132" s="309"/>
      <c r="H132" s="309"/>
      <c r="I132" s="309"/>
      <c r="J132" s="594"/>
      <c r="K132" s="563"/>
      <c r="L132" s="246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</row>
    <row r="133" spans="1:49" x14ac:dyDescent="0.2">
      <c r="A133" s="565" t="str">
        <f t="shared" si="35"/>
        <v>sábado</v>
      </c>
      <c r="B133" s="309"/>
      <c r="C133" s="563"/>
      <c r="D133" s="309"/>
      <c r="E133" s="309"/>
      <c r="F133" s="309"/>
      <c r="G133" s="309"/>
      <c r="H133" s="309"/>
      <c r="I133" s="309"/>
      <c r="J133" s="594"/>
      <c r="K133" s="563"/>
      <c r="L133" s="246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</row>
    <row r="134" spans="1:49" x14ac:dyDescent="0.2">
      <c r="A134" s="565" t="str">
        <f t="shared" si="35"/>
        <v>sábado</v>
      </c>
      <c r="B134" s="309"/>
      <c r="C134" s="563"/>
      <c r="D134" s="309"/>
      <c r="E134" s="309"/>
      <c r="F134" s="309"/>
      <c r="G134" s="309"/>
      <c r="H134" s="309"/>
      <c r="I134" s="309"/>
      <c r="J134" s="594"/>
      <c r="K134" s="563"/>
      <c r="L134" s="24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</row>
    <row r="135" spans="1:49" x14ac:dyDescent="0.2">
      <c r="A135" s="565" t="str">
        <f t="shared" si="35"/>
        <v>sábado</v>
      </c>
      <c r="B135" s="309"/>
      <c r="C135" s="563"/>
      <c r="D135" s="309"/>
      <c r="E135" s="309"/>
      <c r="F135" s="309"/>
      <c r="G135" s="309"/>
      <c r="H135" s="309"/>
      <c r="I135" s="309"/>
      <c r="J135" s="594"/>
      <c r="K135" s="563"/>
      <c r="L135" s="246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</row>
    <row r="136" spans="1:49" x14ac:dyDescent="0.2">
      <c r="A136" s="565" t="str">
        <f t="shared" si="35"/>
        <v>sábado</v>
      </c>
      <c r="B136" s="309"/>
      <c r="C136" s="563"/>
      <c r="D136" s="309"/>
      <c r="E136" s="309"/>
      <c r="F136" s="309"/>
      <c r="G136" s="309"/>
      <c r="H136" s="309"/>
      <c r="I136" s="309"/>
      <c r="J136" s="594"/>
      <c r="K136" s="563"/>
      <c r="L136" s="246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</row>
    <row r="137" spans="1:49" x14ac:dyDescent="0.2">
      <c r="A137" s="565" t="str">
        <f t="shared" ref="A137:A191" si="36">+TEXT(B137,"dddd")</f>
        <v>sábado</v>
      </c>
      <c r="B137" s="309"/>
      <c r="C137" s="634"/>
      <c r="D137" s="309"/>
      <c r="E137" s="309"/>
      <c r="F137" s="309"/>
      <c r="G137" s="309"/>
      <c r="H137" s="309"/>
      <c r="I137" s="309"/>
      <c r="J137" s="594"/>
      <c r="K137" s="563"/>
      <c r="L137" s="246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</row>
    <row r="138" spans="1:49" x14ac:dyDescent="0.2">
      <c r="A138" s="565" t="str">
        <f t="shared" si="36"/>
        <v>sábado</v>
      </c>
      <c r="B138" s="309"/>
      <c r="C138" s="563"/>
      <c r="D138" s="309"/>
      <c r="E138" s="309"/>
      <c r="F138" s="309"/>
      <c r="G138" s="309"/>
      <c r="H138" s="309"/>
      <c r="I138" s="309"/>
      <c r="J138" s="594"/>
      <c r="K138" s="563"/>
      <c r="L138" s="246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</row>
    <row r="139" spans="1:49" x14ac:dyDescent="0.2">
      <c r="A139" s="565" t="str">
        <f t="shared" si="36"/>
        <v>sábado</v>
      </c>
      <c r="B139" s="309"/>
      <c r="C139" s="563"/>
      <c r="D139" s="309"/>
      <c r="E139" s="309"/>
      <c r="F139" s="309"/>
      <c r="G139" s="309"/>
      <c r="H139" s="309"/>
      <c r="I139" s="309"/>
      <c r="J139" s="594"/>
      <c r="K139" s="563"/>
      <c r="L139" s="246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</row>
    <row r="140" spans="1:49" x14ac:dyDescent="0.2">
      <c r="A140" s="565" t="str">
        <f t="shared" si="36"/>
        <v>sábado</v>
      </c>
      <c r="B140" s="309"/>
      <c r="C140" s="563"/>
      <c r="D140" s="309"/>
      <c r="E140" s="309"/>
      <c r="F140" s="309"/>
      <c r="G140" s="309"/>
      <c r="H140" s="309"/>
      <c r="I140" s="309"/>
      <c r="J140" s="594"/>
      <c r="K140" s="563"/>
      <c r="L140" s="246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</row>
    <row r="141" spans="1:49" x14ac:dyDescent="0.2">
      <c r="A141" s="565" t="str">
        <f t="shared" si="36"/>
        <v>sábado</v>
      </c>
      <c r="B141" s="309"/>
      <c r="C141" s="563"/>
      <c r="D141" s="309"/>
      <c r="E141" s="309"/>
      <c r="F141" s="309"/>
      <c r="G141" s="309"/>
      <c r="H141" s="309"/>
      <c r="I141" s="309"/>
      <c r="J141" s="594"/>
      <c r="K141" s="563"/>
      <c r="L141" s="246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</row>
    <row r="142" spans="1:49" x14ac:dyDescent="0.2">
      <c r="A142" s="565" t="str">
        <f t="shared" si="36"/>
        <v>sábado</v>
      </c>
      <c r="B142" s="309"/>
      <c r="C142" s="563"/>
      <c r="D142" s="309"/>
      <c r="E142" s="309"/>
      <c r="F142" s="309"/>
      <c r="G142" s="309"/>
      <c r="H142" s="309"/>
      <c r="I142" s="309"/>
      <c r="J142" s="594"/>
      <c r="K142" s="563"/>
      <c r="L142" s="24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</row>
    <row r="143" spans="1:49" x14ac:dyDescent="0.2">
      <c r="A143" s="565" t="str">
        <f t="shared" si="36"/>
        <v>sábado</v>
      </c>
      <c r="B143" s="632"/>
      <c r="C143" s="563"/>
      <c r="D143" s="309"/>
      <c r="E143" s="564"/>
      <c r="F143" s="309"/>
      <c r="G143" s="564"/>
      <c r="H143" s="564"/>
      <c r="I143" s="309"/>
      <c r="J143" s="594"/>
      <c r="K143" s="563"/>
      <c r="L143" s="246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</row>
    <row r="144" spans="1:49" x14ac:dyDescent="0.2">
      <c r="A144" s="565" t="str">
        <f t="shared" si="36"/>
        <v>sábado</v>
      </c>
      <c r="B144" s="632"/>
      <c r="C144" s="635" t="s">
        <v>9</v>
      </c>
      <c r="D144" s="309"/>
      <c r="E144" s="636">
        <f>SUM(E7:E143)</f>
        <v>0</v>
      </c>
      <c r="F144" s="309"/>
      <c r="G144" s="636">
        <f>SUM(G6:G143)</f>
        <v>0</v>
      </c>
      <c r="H144" s="636">
        <f>SUM(H6:H143)</f>
        <v>0</v>
      </c>
      <c r="I144" s="309"/>
      <c r="J144" s="594"/>
      <c r="K144" s="563"/>
      <c r="L144" s="637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</row>
    <row r="145" spans="1:49" x14ac:dyDescent="0.2">
      <c r="A145" s="565" t="str">
        <f t="shared" si="36"/>
        <v>sábado</v>
      </c>
      <c r="B145" s="309"/>
      <c r="C145" s="563"/>
      <c r="D145" s="309"/>
      <c r="E145" s="309"/>
      <c r="F145" s="309"/>
      <c r="G145" s="309"/>
      <c r="H145" s="309"/>
      <c r="I145" s="309"/>
      <c r="J145" s="594"/>
      <c r="K145" s="563"/>
      <c r="L145" s="246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</row>
    <row r="146" spans="1:49" x14ac:dyDescent="0.2">
      <c r="A146" s="565" t="str">
        <f t="shared" si="36"/>
        <v>sábado</v>
      </c>
      <c r="B146" s="309"/>
      <c r="C146" s="563"/>
      <c r="D146" s="309"/>
      <c r="E146" s="309"/>
      <c r="F146" s="309"/>
      <c r="G146" s="309"/>
      <c r="H146" s="309"/>
      <c r="I146" s="309"/>
      <c r="J146" s="594"/>
      <c r="K146" s="563"/>
      <c r="L146" s="246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</row>
    <row r="147" spans="1:49" x14ac:dyDescent="0.2">
      <c r="A147" s="565" t="str">
        <f t="shared" si="36"/>
        <v>sábado</v>
      </c>
      <c r="B147" s="632"/>
      <c r="C147" s="563"/>
      <c r="D147" s="309"/>
      <c r="E147" s="309"/>
      <c r="F147" s="309"/>
      <c r="G147" s="309"/>
      <c r="H147" s="309"/>
      <c r="I147" s="309"/>
      <c r="J147" s="594"/>
      <c r="K147" s="563"/>
      <c r="L147" s="246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</row>
    <row r="148" spans="1:49" x14ac:dyDescent="0.2">
      <c r="A148" s="565" t="str">
        <f t="shared" si="36"/>
        <v>sábado</v>
      </c>
      <c r="B148" s="309"/>
      <c r="C148" s="563"/>
      <c r="D148" s="309"/>
      <c r="E148" s="564"/>
      <c r="F148" s="309"/>
      <c r="G148" s="603"/>
      <c r="H148" s="603"/>
      <c r="I148" s="309"/>
      <c r="J148" s="594"/>
      <c r="K148" s="563"/>
      <c r="L148" s="246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</row>
    <row r="149" spans="1:49" x14ac:dyDescent="0.2">
      <c r="A149" s="565" t="str">
        <f t="shared" si="36"/>
        <v>sábado</v>
      </c>
      <c r="B149" s="309"/>
      <c r="C149" s="563"/>
      <c r="D149" s="309"/>
      <c r="E149" s="564"/>
      <c r="F149" s="564"/>
      <c r="G149" s="564"/>
      <c r="H149" s="564"/>
      <c r="I149" s="309"/>
      <c r="J149" s="594"/>
      <c r="K149" s="563"/>
      <c r="L149" s="246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</row>
    <row r="150" spans="1:49" x14ac:dyDescent="0.2">
      <c r="A150" s="565" t="str">
        <f t="shared" si="36"/>
        <v>sábado</v>
      </c>
      <c r="B150" s="309"/>
      <c r="C150" s="633"/>
      <c r="D150" s="309"/>
      <c r="E150" s="309"/>
      <c r="F150" s="564"/>
      <c r="G150" s="564"/>
      <c r="H150" s="564"/>
      <c r="I150" s="309"/>
      <c r="J150" s="594"/>
      <c r="K150" s="563"/>
      <c r="L150" s="246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</row>
    <row r="151" spans="1:49" x14ac:dyDescent="0.2">
      <c r="A151" s="565" t="str">
        <f t="shared" si="36"/>
        <v>sábado</v>
      </c>
      <c r="B151" s="309"/>
      <c r="C151" s="563"/>
      <c r="D151" s="309"/>
      <c r="E151" s="309"/>
      <c r="F151" s="309"/>
      <c r="G151" s="309"/>
      <c r="H151" s="309"/>
      <c r="I151" s="309"/>
      <c r="J151" s="594"/>
      <c r="K151" s="563"/>
      <c r="L151" s="246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</row>
    <row r="152" spans="1:49" x14ac:dyDescent="0.2">
      <c r="A152" s="565" t="str">
        <f t="shared" si="36"/>
        <v>sábado</v>
      </c>
      <c r="B152" s="309"/>
      <c r="C152" s="563"/>
      <c r="D152" s="309"/>
      <c r="E152" s="309"/>
      <c r="F152" s="309"/>
      <c r="G152" s="309"/>
      <c r="H152" s="309"/>
      <c r="I152" s="309"/>
      <c r="J152" s="594"/>
      <c r="K152" s="563"/>
      <c r="L152" s="246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</row>
    <row r="153" spans="1:49" x14ac:dyDescent="0.2">
      <c r="A153" s="565" t="str">
        <f t="shared" si="36"/>
        <v>sábado</v>
      </c>
      <c r="B153" s="309"/>
      <c r="C153" s="563"/>
      <c r="D153" s="309"/>
      <c r="E153" s="309"/>
      <c r="F153" s="309"/>
      <c r="G153" s="309"/>
      <c r="H153" s="309"/>
      <c r="I153" s="309"/>
      <c r="J153" s="594"/>
      <c r="K153" s="563"/>
      <c r="L153" s="246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</row>
    <row r="154" spans="1:49" x14ac:dyDescent="0.2">
      <c r="A154" s="565" t="str">
        <f t="shared" si="36"/>
        <v>sábado</v>
      </c>
      <c r="B154" s="309"/>
      <c r="C154" s="563"/>
      <c r="D154" s="309"/>
      <c r="E154" s="564"/>
      <c r="F154" s="564"/>
      <c r="G154" s="564"/>
      <c r="H154" s="564"/>
      <c r="I154" s="309"/>
      <c r="J154" s="594"/>
      <c r="K154" s="563"/>
      <c r="L154" s="246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</row>
    <row r="155" spans="1:49" x14ac:dyDescent="0.2">
      <c r="A155" s="565" t="str">
        <f t="shared" si="36"/>
        <v>sábado</v>
      </c>
      <c r="B155" s="309"/>
      <c r="C155" s="563"/>
      <c r="D155" s="309"/>
      <c r="E155" s="564"/>
      <c r="F155" s="564"/>
      <c r="G155" s="564"/>
      <c r="H155" s="564"/>
      <c r="I155" s="309"/>
      <c r="J155" s="594"/>
      <c r="K155" s="563"/>
      <c r="L155" s="246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</row>
    <row r="156" spans="1:49" x14ac:dyDescent="0.2">
      <c r="A156" s="565" t="str">
        <f t="shared" si="36"/>
        <v>sábado</v>
      </c>
      <c r="B156" s="309"/>
      <c r="C156" s="563"/>
      <c r="D156" s="309"/>
      <c r="E156" s="309"/>
      <c r="F156" s="309"/>
      <c r="G156" s="309"/>
      <c r="H156" s="309"/>
      <c r="I156" s="309"/>
      <c r="J156" s="594"/>
      <c r="K156" s="563"/>
      <c r="L156" s="24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</row>
    <row r="157" spans="1:49" x14ac:dyDescent="0.2">
      <c r="A157" s="565" t="str">
        <f t="shared" si="36"/>
        <v>sábado</v>
      </c>
      <c r="B157" s="309"/>
      <c r="C157" s="563"/>
      <c r="D157" s="309"/>
      <c r="E157" s="564"/>
      <c r="F157" s="309"/>
      <c r="G157" s="564"/>
      <c r="H157" s="564"/>
      <c r="I157" s="309"/>
      <c r="J157" s="594"/>
      <c r="K157" s="563"/>
      <c r="L157" s="246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</row>
    <row r="158" spans="1:49" x14ac:dyDescent="0.2">
      <c r="A158" s="565" t="str">
        <f t="shared" si="36"/>
        <v>sábado</v>
      </c>
      <c r="B158" s="309"/>
      <c r="C158" s="563"/>
      <c r="D158" s="309"/>
      <c r="E158" s="309"/>
      <c r="F158" s="309"/>
      <c r="G158" s="309"/>
      <c r="H158" s="309"/>
      <c r="I158" s="309"/>
      <c r="J158" s="594"/>
      <c r="K158" s="563"/>
      <c r="L158" s="246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</row>
    <row r="159" spans="1:49" x14ac:dyDescent="0.2">
      <c r="A159" s="565" t="str">
        <f t="shared" si="36"/>
        <v>sábado</v>
      </c>
      <c r="B159" s="309"/>
      <c r="C159" s="563"/>
      <c r="D159" s="309"/>
      <c r="E159" s="309"/>
      <c r="F159" s="309"/>
      <c r="G159" s="309"/>
      <c r="H159" s="309"/>
      <c r="I159" s="309"/>
      <c r="J159" s="594"/>
      <c r="K159" s="563"/>
      <c r="L159" s="246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</row>
    <row r="160" spans="1:49" x14ac:dyDescent="0.2">
      <c r="A160" s="565" t="str">
        <f t="shared" si="36"/>
        <v>sábado</v>
      </c>
      <c r="B160" s="309"/>
      <c r="C160" s="563"/>
      <c r="D160" s="309"/>
      <c r="E160" s="309"/>
      <c r="F160" s="309"/>
      <c r="G160" s="309"/>
      <c r="H160" s="309"/>
      <c r="I160" s="309"/>
      <c r="J160" s="594"/>
      <c r="K160" s="563"/>
      <c r="L160" s="246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</row>
    <row r="161" spans="1:49" x14ac:dyDescent="0.2">
      <c r="A161" s="565" t="str">
        <f t="shared" si="36"/>
        <v>sábado</v>
      </c>
      <c r="B161" s="309"/>
      <c r="C161" s="563"/>
      <c r="D161" s="309"/>
      <c r="E161" s="564"/>
      <c r="F161" s="309"/>
      <c r="G161" s="564"/>
      <c r="H161" s="564"/>
      <c r="I161" s="309"/>
      <c r="J161" s="594"/>
      <c r="K161" s="563"/>
      <c r="L161" s="246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</row>
    <row r="162" spans="1:49" x14ac:dyDescent="0.2">
      <c r="A162" s="565" t="str">
        <f t="shared" si="36"/>
        <v>sábado</v>
      </c>
      <c r="B162" s="309"/>
      <c r="C162" s="563"/>
      <c r="D162" s="309"/>
      <c r="E162" s="309"/>
      <c r="F162" s="309"/>
      <c r="G162" s="309"/>
      <c r="H162" s="309"/>
      <c r="I162" s="309"/>
      <c r="J162" s="594"/>
      <c r="K162" s="563"/>
      <c r="L162" s="246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</row>
    <row r="163" spans="1:49" x14ac:dyDescent="0.2">
      <c r="A163" s="565" t="str">
        <f t="shared" si="36"/>
        <v>sábado</v>
      </c>
      <c r="B163" s="309"/>
      <c r="C163" s="563"/>
      <c r="D163" s="309"/>
      <c r="E163" s="564"/>
      <c r="F163" s="309"/>
      <c r="G163" s="564"/>
      <c r="H163" s="564"/>
      <c r="I163" s="309"/>
      <c r="J163" s="594"/>
      <c r="K163" s="563"/>
      <c r="L163" s="246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</row>
    <row r="164" spans="1:49" x14ac:dyDescent="0.2">
      <c r="A164" s="565" t="str">
        <f t="shared" si="36"/>
        <v>sábado</v>
      </c>
      <c r="B164" s="309"/>
      <c r="C164" s="563"/>
      <c r="D164" s="309"/>
      <c r="E164" s="564"/>
      <c r="F164" s="309"/>
      <c r="G164" s="564"/>
      <c r="H164" s="564"/>
      <c r="I164" s="309"/>
      <c r="J164" s="594"/>
      <c r="K164" s="563"/>
      <c r="L164" s="24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</row>
    <row r="165" spans="1:49" x14ac:dyDescent="0.2">
      <c r="A165" s="565" t="str">
        <f t="shared" si="36"/>
        <v>sábado</v>
      </c>
      <c r="B165" s="309"/>
      <c r="C165" s="563"/>
      <c r="D165" s="309"/>
      <c r="E165" s="564"/>
      <c r="F165" s="309"/>
      <c r="G165" s="564"/>
      <c r="H165" s="564"/>
      <c r="I165" s="309"/>
      <c r="J165" s="594"/>
      <c r="K165" s="563"/>
      <c r="L165" s="246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</row>
    <row r="166" spans="1:49" x14ac:dyDescent="0.2">
      <c r="A166" s="565" t="str">
        <f t="shared" si="36"/>
        <v>sábado</v>
      </c>
      <c r="B166" s="309"/>
      <c r="C166" s="563"/>
      <c r="D166" s="309"/>
      <c r="E166" s="564"/>
      <c r="F166" s="309"/>
      <c r="G166" s="564"/>
      <c r="H166" s="564"/>
      <c r="I166" s="309"/>
      <c r="J166" s="594"/>
      <c r="K166" s="563"/>
      <c r="L166" s="246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</row>
    <row r="167" spans="1:49" x14ac:dyDescent="0.2">
      <c r="A167" s="565" t="str">
        <f t="shared" si="36"/>
        <v>sábado</v>
      </c>
      <c r="B167" s="309"/>
      <c r="C167" s="563"/>
      <c r="D167" s="309"/>
      <c r="E167" s="309"/>
      <c r="F167" s="309"/>
      <c r="G167" s="309"/>
      <c r="H167" s="309"/>
      <c r="I167" s="309"/>
      <c r="J167" s="594"/>
      <c r="K167" s="563"/>
      <c r="L167" s="246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</row>
    <row r="168" spans="1:49" x14ac:dyDescent="0.2">
      <c r="A168" s="565" t="str">
        <f t="shared" si="36"/>
        <v>sábado</v>
      </c>
      <c r="B168" s="309"/>
      <c r="C168" s="563"/>
      <c r="D168" s="309"/>
      <c r="E168" s="564"/>
      <c r="F168" s="309"/>
      <c r="G168" s="564"/>
      <c r="H168" s="564"/>
      <c r="I168" s="309"/>
      <c r="J168" s="594"/>
      <c r="K168" s="563"/>
      <c r="L168" s="246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</row>
    <row r="169" spans="1:49" x14ac:dyDescent="0.2">
      <c r="A169" s="565" t="str">
        <f t="shared" si="36"/>
        <v>sábado</v>
      </c>
      <c r="B169" s="309"/>
      <c r="C169" s="563"/>
      <c r="D169" s="309"/>
      <c r="E169" s="309"/>
      <c r="F169" s="309"/>
      <c r="G169" s="309"/>
      <c r="H169" s="309"/>
      <c r="I169" s="309"/>
      <c r="J169" s="594"/>
      <c r="K169" s="563"/>
      <c r="L169" s="246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</row>
    <row r="170" spans="1:49" x14ac:dyDescent="0.2">
      <c r="A170" s="565" t="str">
        <f t="shared" si="36"/>
        <v>sábado</v>
      </c>
      <c r="B170" s="309"/>
      <c r="C170" s="634"/>
      <c r="D170" s="309"/>
      <c r="E170" s="564"/>
      <c r="F170" s="309"/>
      <c r="G170" s="564"/>
      <c r="H170" s="564"/>
      <c r="I170" s="309"/>
      <c r="J170" s="594"/>
      <c r="K170" s="563"/>
      <c r="L170" s="246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</row>
    <row r="171" spans="1:49" x14ac:dyDescent="0.2">
      <c r="A171" s="565" t="str">
        <f t="shared" si="36"/>
        <v>sábado</v>
      </c>
      <c r="B171" s="309"/>
      <c r="C171" s="563"/>
      <c r="D171" s="309"/>
      <c r="E171" s="309"/>
      <c r="F171" s="309"/>
      <c r="G171" s="309"/>
      <c r="H171" s="309"/>
      <c r="I171" s="309"/>
      <c r="J171" s="594"/>
      <c r="K171" s="563"/>
      <c r="L171" s="246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</row>
    <row r="172" spans="1:49" x14ac:dyDescent="0.2">
      <c r="A172" s="565" t="str">
        <f t="shared" si="36"/>
        <v>sábado</v>
      </c>
      <c r="B172" s="309"/>
      <c r="C172" s="563"/>
      <c r="D172" s="309"/>
      <c r="E172" s="564"/>
      <c r="F172" s="309"/>
      <c r="G172" s="564"/>
      <c r="H172" s="564"/>
      <c r="I172" s="309"/>
      <c r="J172" s="594"/>
      <c r="K172" s="563"/>
      <c r="L172" s="246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</row>
    <row r="173" spans="1:49" x14ac:dyDescent="0.2">
      <c r="A173" s="565" t="str">
        <f t="shared" si="36"/>
        <v>sábado</v>
      </c>
      <c r="B173" s="309"/>
      <c r="C173" s="563"/>
      <c r="D173" s="309"/>
      <c r="E173" s="564"/>
      <c r="F173" s="309"/>
      <c r="G173" s="564"/>
      <c r="H173" s="564"/>
      <c r="I173" s="309"/>
      <c r="J173" s="594"/>
      <c r="K173" s="563"/>
      <c r="L173" s="246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</row>
    <row r="174" spans="1:49" x14ac:dyDescent="0.2">
      <c r="A174" s="565" t="str">
        <f t="shared" si="36"/>
        <v>sábado</v>
      </c>
      <c r="B174" s="309"/>
      <c r="C174" s="563"/>
      <c r="D174" s="309"/>
      <c r="E174" s="564"/>
      <c r="F174" s="309"/>
      <c r="G174" s="564"/>
      <c r="H174" s="564"/>
      <c r="I174" s="309"/>
      <c r="J174" s="594"/>
      <c r="K174" s="563"/>
      <c r="L174" s="246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</row>
    <row r="175" spans="1:49" x14ac:dyDescent="0.2">
      <c r="A175" s="565" t="str">
        <f t="shared" si="36"/>
        <v>sábado</v>
      </c>
      <c r="B175" s="309"/>
      <c r="C175" s="563"/>
      <c r="D175" s="563"/>
      <c r="E175" s="309"/>
      <c r="F175" s="309"/>
      <c r="G175" s="309"/>
      <c r="H175" s="309"/>
      <c r="I175" s="309"/>
      <c r="J175" s="594"/>
      <c r="K175" s="563"/>
      <c r="L175" s="246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</row>
    <row r="176" spans="1:49" x14ac:dyDescent="0.2">
      <c r="A176" s="565" t="str">
        <f t="shared" si="36"/>
        <v>sábado</v>
      </c>
      <c r="B176" s="309"/>
      <c r="C176" s="563"/>
      <c r="D176" s="563"/>
      <c r="E176" s="564"/>
      <c r="F176" s="309"/>
      <c r="G176" s="564"/>
      <c r="H176" s="564"/>
      <c r="I176" s="309"/>
      <c r="J176" s="594"/>
      <c r="K176" s="563"/>
      <c r="L176" s="246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</row>
    <row r="177" spans="1:49" x14ac:dyDescent="0.2">
      <c r="A177" s="565" t="str">
        <f t="shared" si="36"/>
        <v>sábado</v>
      </c>
      <c r="B177" s="309"/>
      <c r="C177" s="563"/>
      <c r="D177" s="563"/>
      <c r="E177" s="564"/>
      <c r="F177" s="309"/>
      <c r="G177" s="564"/>
      <c r="H177" s="564"/>
      <c r="I177" s="309"/>
      <c r="J177" s="594"/>
      <c r="K177" s="563"/>
      <c r="L177" s="246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</row>
    <row r="178" spans="1:49" x14ac:dyDescent="0.2">
      <c r="A178" s="565" t="str">
        <f t="shared" si="36"/>
        <v>sábado</v>
      </c>
      <c r="B178" s="309"/>
      <c r="C178" s="563"/>
      <c r="D178" s="563"/>
      <c r="E178" s="309"/>
      <c r="F178" s="309"/>
      <c r="G178" s="309"/>
      <c r="H178" s="309"/>
      <c r="I178" s="309"/>
      <c r="J178" s="594"/>
      <c r="K178" s="563"/>
      <c r="L178" s="24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</row>
    <row r="179" spans="1:49" x14ac:dyDescent="0.2">
      <c r="A179" s="565" t="str">
        <f t="shared" si="36"/>
        <v>sábado</v>
      </c>
      <c r="B179" s="309"/>
      <c r="C179" s="563"/>
      <c r="D179" s="563"/>
      <c r="E179" s="309"/>
      <c r="F179" s="309"/>
      <c r="G179" s="309"/>
      <c r="H179" s="309"/>
      <c r="I179" s="309"/>
      <c r="J179" s="594"/>
      <c r="K179" s="563"/>
      <c r="L179" s="246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</row>
    <row r="180" spans="1:49" x14ac:dyDescent="0.2">
      <c r="A180" s="565" t="str">
        <f t="shared" si="36"/>
        <v>sábado</v>
      </c>
      <c r="B180" s="309"/>
      <c r="C180" s="563"/>
      <c r="D180" s="563"/>
      <c r="E180" s="564"/>
      <c r="F180" s="309"/>
      <c r="G180" s="564"/>
      <c r="H180" s="564"/>
      <c r="I180" s="309"/>
      <c r="J180" s="594"/>
      <c r="K180" s="563"/>
      <c r="L180" s="246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</row>
    <row r="181" spans="1:49" x14ac:dyDescent="0.2">
      <c r="A181" s="565" t="str">
        <f t="shared" si="36"/>
        <v>sábado</v>
      </c>
      <c r="B181" s="309"/>
      <c r="C181" s="563"/>
      <c r="D181" s="563"/>
      <c r="E181" s="564"/>
      <c r="F181" s="309"/>
      <c r="G181" s="564"/>
      <c r="H181" s="564"/>
      <c r="I181" s="309"/>
      <c r="J181" s="594"/>
      <c r="K181" s="563"/>
      <c r="L181" s="246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</row>
    <row r="182" spans="1:49" x14ac:dyDescent="0.2">
      <c r="A182" s="565" t="str">
        <f t="shared" si="36"/>
        <v>sábado</v>
      </c>
      <c r="B182" s="309"/>
      <c r="C182" s="563"/>
      <c r="D182" s="563"/>
      <c r="E182" s="564"/>
      <c r="F182" s="309"/>
      <c r="G182" s="564"/>
      <c r="H182" s="564"/>
      <c r="I182" s="309"/>
      <c r="J182" s="594"/>
      <c r="K182" s="563"/>
      <c r="L182" s="246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</row>
    <row r="183" spans="1:49" x14ac:dyDescent="0.2">
      <c r="A183" s="565" t="str">
        <f t="shared" si="36"/>
        <v>sábado</v>
      </c>
      <c r="B183" s="309"/>
      <c r="C183" s="563"/>
      <c r="D183" s="563"/>
      <c r="E183" s="309"/>
      <c r="F183" s="309"/>
      <c r="G183" s="309"/>
      <c r="H183" s="309"/>
      <c r="I183" s="309"/>
      <c r="J183" s="594"/>
      <c r="K183" s="563"/>
      <c r="L183" s="246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</row>
    <row r="184" spans="1:49" x14ac:dyDescent="0.2">
      <c r="A184" s="565" t="str">
        <f t="shared" si="36"/>
        <v>sábado</v>
      </c>
      <c r="B184" s="309"/>
      <c r="C184" s="563"/>
      <c r="D184" s="563"/>
      <c r="E184" s="564"/>
      <c r="F184" s="309"/>
      <c r="G184" s="564"/>
      <c r="H184" s="564"/>
      <c r="I184" s="309"/>
      <c r="J184" s="594"/>
      <c r="K184" s="563"/>
      <c r="L184" s="246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</row>
    <row r="185" spans="1:49" x14ac:dyDescent="0.2">
      <c r="A185" s="565" t="str">
        <f t="shared" si="36"/>
        <v>sábado</v>
      </c>
      <c r="B185" s="309"/>
      <c r="C185" s="563"/>
      <c r="D185" s="563"/>
      <c r="E185" s="564"/>
      <c r="F185" s="309"/>
      <c r="G185" s="564"/>
      <c r="H185" s="564"/>
      <c r="I185" s="309"/>
      <c r="J185" s="594"/>
      <c r="K185" s="563"/>
      <c r="L185" s="246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</row>
    <row r="186" spans="1:49" x14ac:dyDescent="0.2">
      <c r="A186" s="565" t="str">
        <f t="shared" si="36"/>
        <v>sábado</v>
      </c>
      <c r="B186" s="309"/>
      <c r="C186" s="563"/>
      <c r="D186" s="563"/>
      <c r="E186" s="564"/>
      <c r="F186" s="309"/>
      <c r="G186" s="564"/>
      <c r="H186" s="564"/>
      <c r="I186" s="309"/>
      <c r="J186" s="594"/>
      <c r="K186" s="563"/>
      <c r="L186" s="24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</row>
    <row r="187" spans="1:49" x14ac:dyDescent="0.2">
      <c r="A187" s="565" t="str">
        <f t="shared" si="36"/>
        <v>sábado</v>
      </c>
      <c r="B187" s="309"/>
      <c r="C187" s="563"/>
      <c r="D187" s="563"/>
      <c r="E187" s="564"/>
      <c r="F187" s="309"/>
      <c r="G187" s="564"/>
      <c r="H187" s="564"/>
      <c r="I187" s="309"/>
      <c r="J187" s="594"/>
      <c r="K187" s="563"/>
      <c r="L187" s="246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</row>
    <row r="188" spans="1:49" x14ac:dyDescent="0.2">
      <c r="A188" s="565" t="str">
        <f t="shared" si="36"/>
        <v>sábado</v>
      </c>
      <c r="B188" s="309"/>
      <c r="C188" s="563"/>
      <c r="D188" s="563"/>
      <c r="E188" s="309"/>
      <c r="F188" s="309"/>
      <c r="G188" s="309"/>
      <c r="H188" s="309"/>
      <c r="I188" s="309"/>
      <c r="J188" s="594"/>
      <c r="K188" s="563"/>
      <c r="L188" s="246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</row>
    <row r="189" spans="1:49" x14ac:dyDescent="0.2">
      <c r="A189" s="565" t="str">
        <f t="shared" si="36"/>
        <v>sábado</v>
      </c>
      <c r="B189" s="309"/>
      <c r="C189" s="563"/>
      <c r="D189" s="563"/>
      <c r="E189" s="564"/>
      <c r="F189" s="309"/>
      <c r="G189" s="564"/>
      <c r="H189" s="564"/>
      <c r="I189" s="309"/>
      <c r="J189" s="594"/>
      <c r="K189" s="563"/>
      <c r="L189" s="246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</row>
    <row r="190" spans="1:49" x14ac:dyDescent="0.2">
      <c r="A190" s="565" t="str">
        <f t="shared" si="36"/>
        <v>sábado</v>
      </c>
      <c r="B190" s="309"/>
      <c r="C190" s="563"/>
      <c r="D190" s="563"/>
      <c r="E190" s="564"/>
      <c r="F190" s="309"/>
      <c r="G190" s="564"/>
      <c r="H190" s="564"/>
      <c r="I190" s="309"/>
      <c r="J190" s="594"/>
      <c r="K190" s="563"/>
      <c r="L190" s="246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</row>
    <row r="191" spans="1:49" x14ac:dyDescent="0.2">
      <c r="A191" s="565" t="str">
        <f t="shared" si="36"/>
        <v>sábado</v>
      </c>
      <c r="B191" s="309"/>
      <c r="C191" s="563"/>
      <c r="D191" s="563"/>
      <c r="E191" s="564"/>
      <c r="F191" s="309"/>
      <c r="G191" s="564"/>
      <c r="H191" s="564"/>
      <c r="I191" s="309"/>
      <c r="J191" s="594"/>
      <c r="K191" s="563"/>
      <c r="L191" s="246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</row>
    <row r="192" spans="1:49" x14ac:dyDescent="0.2">
      <c r="C192" s="51"/>
      <c r="E192" s="49"/>
      <c r="F192" s="50"/>
      <c r="G192" s="49"/>
      <c r="H192" s="49"/>
      <c r="J192" s="10"/>
      <c r="K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</row>
    <row r="193" spans="3:49" x14ac:dyDescent="0.2">
      <c r="C193" s="51"/>
      <c r="E193" s="49"/>
      <c r="F193" s="50"/>
      <c r="G193" s="49"/>
      <c r="H193" s="49"/>
      <c r="J193" s="10"/>
      <c r="K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</row>
    <row r="194" spans="3:49" x14ac:dyDescent="0.2">
      <c r="C194" s="51"/>
      <c r="E194" s="49"/>
      <c r="F194" s="50"/>
      <c r="G194" s="49"/>
      <c r="H194" s="49"/>
      <c r="J194" s="10"/>
      <c r="K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</row>
    <row r="195" spans="3:49" x14ac:dyDescent="0.2">
      <c r="C195" s="51"/>
      <c r="E195" s="49"/>
      <c r="F195" s="50"/>
      <c r="G195" s="49"/>
      <c r="H195" s="49"/>
      <c r="J195" s="10"/>
      <c r="K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</row>
    <row r="196" spans="3:49" x14ac:dyDescent="0.2">
      <c r="C196" s="51"/>
      <c r="E196" s="49"/>
      <c r="F196" s="50"/>
      <c r="G196" s="49"/>
      <c r="H196" s="49"/>
      <c r="J196" s="10"/>
      <c r="K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</row>
    <row r="197" spans="3:49" x14ac:dyDescent="0.2">
      <c r="C197" s="51"/>
      <c r="E197" s="49"/>
      <c r="F197" s="50"/>
      <c r="G197" s="49"/>
      <c r="H197" s="49"/>
      <c r="J197" s="10"/>
      <c r="K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</row>
    <row r="198" spans="3:49" x14ac:dyDescent="0.2">
      <c r="C198" s="51"/>
      <c r="E198" s="49"/>
      <c r="F198" s="50"/>
      <c r="G198" s="49"/>
      <c r="H198" s="49"/>
      <c r="J198" s="10"/>
      <c r="K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</row>
    <row r="199" spans="3:49" x14ac:dyDescent="0.2">
      <c r="C199" s="51"/>
      <c r="E199" s="49"/>
      <c r="F199" s="50"/>
      <c r="G199" s="49"/>
      <c r="H199" s="49"/>
      <c r="J199" s="10"/>
      <c r="K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</row>
    <row r="200" spans="3:49" x14ac:dyDescent="0.2">
      <c r="C200" s="51"/>
      <c r="E200" s="49"/>
      <c r="F200" s="50"/>
      <c r="G200" s="49"/>
      <c r="H200" s="49"/>
      <c r="J200" s="10"/>
      <c r="K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</row>
    <row r="201" spans="3:49" x14ac:dyDescent="0.2">
      <c r="C201" s="51"/>
      <c r="E201" s="49"/>
      <c r="F201" s="50"/>
      <c r="G201" s="49"/>
      <c r="H201" s="49"/>
      <c r="J201" s="10"/>
      <c r="K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</row>
    <row r="202" spans="3:49" x14ac:dyDescent="0.2">
      <c r="C202" s="51"/>
      <c r="E202" s="49"/>
      <c r="F202" s="50"/>
      <c r="G202" s="49"/>
      <c r="H202" s="49"/>
      <c r="J202" s="10"/>
      <c r="K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</row>
    <row r="203" spans="3:49" x14ac:dyDescent="0.2">
      <c r="C203" s="51"/>
      <c r="E203" s="49"/>
      <c r="F203" s="50"/>
      <c r="G203" s="49"/>
      <c r="H203" s="49"/>
      <c r="J203" s="10"/>
      <c r="K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</row>
    <row r="204" spans="3:49" x14ac:dyDescent="0.2">
      <c r="C204" s="51"/>
      <c r="E204" s="49"/>
      <c r="F204" s="50"/>
      <c r="G204" s="49"/>
      <c r="H204" s="49"/>
      <c r="J204" s="10"/>
      <c r="K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</row>
    <row r="205" spans="3:49" x14ac:dyDescent="0.2">
      <c r="C205" s="51"/>
      <c r="E205" s="49"/>
      <c r="F205" s="50"/>
      <c r="G205" s="49"/>
      <c r="H205" s="49"/>
      <c r="J205" s="10"/>
      <c r="K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</row>
    <row r="206" spans="3:49" x14ac:dyDescent="0.2">
      <c r="C206" s="51"/>
      <c r="E206" s="49"/>
      <c r="F206" s="50"/>
      <c r="G206" s="49"/>
      <c r="H206" s="49"/>
      <c r="J206" s="10"/>
      <c r="K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</row>
    <row r="207" spans="3:49" x14ac:dyDescent="0.2">
      <c r="C207" s="51"/>
      <c r="E207" s="49"/>
      <c r="F207" s="50"/>
      <c r="G207" s="49"/>
      <c r="H207" s="49"/>
      <c r="J207" s="10"/>
      <c r="K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</row>
    <row r="208" spans="3:49" x14ac:dyDescent="0.2">
      <c r="C208" s="51"/>
      <c r="E208" s="49"/>
      <c r="F208" s="50"/>
      <c r="G208" s="49"/>
      <c r="H208" s="49"/>
      <c r="J208" s="10"/>
      <c r="K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</row>
    <row r="209" spans="2:49" x14ac:dyDescent="0.2">
      <c r="C209" s="51"/>
      <c r="E209" s="49"/>
      <c r="F209" s="50"/>
      <c r="G209" s="49"/>
      <c r="H209" s="49"/>
      <c r="J209" s="10"/>
      <c r="K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</row>
    <row r="210" spans="2:49" x14ac:dyDescent="0.2">
      <c r="C210" s="51"/>
      <c r="E210" s="49"/>
      <c r="F210" s="50"/>
      <c r="G210" s="49"/>
      <c r="H210" s="49"/>
      <c r="J210" s="10"/>
      <c r="K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</row>
    <row r="211" spans="2:49" x14ac:dyDescent="0.2">
      <c r="C211" s="51"/>
      <c r="F211" s="50"/>
      <c r="J211" s="10"/>
      <c r="K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</row>
    <row r="212" spans="2:49" x14ac:dyDescent="0.2">
      <c r="C212" s="51"/>
      <c r="D212" s="23"/>
      <c r="E212" s="49"/>
      <c r="F212" s="49"/>
      <c r="G212" s="49"/>
      <c r="H212" s="49"/>
      <c r="I212" s="49"/>
      <c r="J212" s="23"/>
      <c r="K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</row>
    <row r="213" spans="2:49" x14ac:dyDescent="0.2">
      <c r="C213" s="51"/>
      <c r="F213" s="50"/>
      <c r="J213" s="10"/>
      <c r="K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</row>
    <row r="214" spans="2:49" x14ac:dyDescent="0.2">
      <c r="C214" s="51"/>
      <c r="F214" s="50"/>
      <c r="J214" s="10"/>
      <c r="K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</row>
    <row r="215" spans="2:49" x14ac:dyDescent="0.2">
      <c r="C215" s="51"/>
      <c r="F215" s="50"/>
      <c r="J215" s="10"/>
      <c r="K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</row>
    <row r="216" spans="2:49" x14ac:dyDescent="0.2">
      <c r="C216" s="23"/>
      <c r="E216" s="49"/>
      <c r="F216" s="50"/>
      <c r="G216" s="49"/>
      <c r="H216" s="49"/>
      <c r="J216" s="10"/>
      <c r="K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</row>
    <row r="217" spans="2:49" x14ac:dyDescent="0.2">
      <c r="C217" s="51"/>
      <c r="F217" s="50"/>
      <c r="J217" s="10"/>
      <c r="K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</row>
    <row r="218" spans="2:49" x14ac:dyDescent="0.2">
      <c r="C218" s="51"/>
      <c r="F218" s="50"/>
      <c r="J218" s="10"/>
      <c r="K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</row>
    <row r="219" spans="2:49" x14ac:dyDescent="0.2">
      <c r="C219" s="51"/>
      <c r="F219" s="50"/>
      <c r="J219" s="10"/>
      <c r="K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</row>
    <row r="220" spans="2:49" x14ac:dyDescent="0.2">
      <c r="C220" s="51"/>
      <c r="F220" s="50"/>
      <c r="J220" s="10"/>
      <c r="K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</row>
    <row r="221" spans="2:49" x14ac:dyDescent="0.2">
      <c r="B221" s="25"/>
      <c r="C221" s="51"/>
      <c r="F221" s="50"/>
      <c r="J221" s="10"/>
      <c r="K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</row>
    <row r="222" spans="2:49" x14ac:dyDescent="0.2">
      <c r="C222" s="51"/>
      <c r="E222" s="49"/>
      <c r="F222" s="50"/>
      <c r="J222" s="10"/>
      <c r="K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</row>
    <row r="223" spans="2:49" x14ac:dyDescent="0.2">
      <c r="C223" s="51"/>
      <c r="F223" s="50"/>
      <c r="J223" s="10"/>
      <c r="K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</row>
    <row r="224" spans="2:49" x14ac:dyDescent="0.2">
      <c r="C224" s="51"/>
      <c r="F224" s="49"/>
      <c r="J224" s="10"/>
      <c r="K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</row>
    <row r="225" spans="2:49" x14ac:dyDescent="0.2">
      <c r="C225" s="51"/>
      <c r="F225" s="50"/>
      <c r="J225" s="10"/>
      <c r="K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</row>
    <row r="226" spans="2:49" x14ac:dyDescent="0.2">
      <c r="C226" s="51"/>
      <c r="E226" s="47"/>
      <c r="F226" s="50"/>
      <c r="G226" s="49"/>
      <c r="H226" s="49"/>
      <c r="J226" s="10"/>
      <c r="K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</row>
    <row r="227" spans="2:49" x14ac:dyDescent="0.2">
      <c r="C227" s="51"/>
      <c r="E227" s="47"/>
      <c r="F227" s="50"/>
      <c r="G227" s="49"/>
      <c r="H227" s="49"/>
      <c r="J227" s="10"/>
      <c r="K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</row>
    <row r="228" spans="2:49" x14ac:dyDescent="0.2">
      <c r="C228" s="51"/>
      <c r="E228" s="49"/>
      <c r="F228" s="49"/>
      <c r="G228" s="49"/>
      <c r="H228" s="49"/>
      <c r="J228" s="10"/>
      <c r="K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</row>
    <row r="229" spans="2:49" x14ac:dyDescent="0.2">
      <c r="C229" s="51"/>
      <c r="E229" s="49"/>
      <c r="F229" s="50"/>
      <c r="G229" s="49"/>
      <c r="H229" s="49"/>
      <c r="J229" s="10"/>
      <c r="K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</row>
    <row r="230" spans="2:49" x14ac:dyDescent="0.2">
      <c r="C230" s="51"/>
      <c r="F230" s="50"/>
      <c r="J230" s="10"/>
      <c r="K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</row>
    <row r="231" spans="2:49" x14ac:dyDescent="0.2">
      <c r="C231" s="51"/>
      <c r="F231" s="50"/>
      <c r="J231" s="10"/>
      <c r="K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</row>
    <row r="232" spans="2:49" x14ac:dyDescent="0.2">
      <c r="C232" s="51"/>
      <c r="F232" s="50"/>
      <c r="J232" s="10"/>
      <c r="K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</row>
    <row r="233" spans="2:49" x14ac:dyDescent="0.2">
      <c r="C233" s="51"/>
      <c r="F233" s="50"/>
      <c r="J233" s="10"/>
      <c r="K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</row>
    <row r="234" spans="2:49" x14ac:dyDescent="0.2">
      <c r="C234" s="51"/>
      <c r="F234" s="50"/>
      <c r="J234" s="10"/>
      <c r="K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</row>
    <row r="235" spans="2:49" x14ac:dyDescent="0.2">
      <c r="C235" s="51"/>
      <c r="E235" s="49"/>
      <c r="F235" s="50"/>
      <c r="G235" s="49"/>
      <c r="H235" s="49"/>
      <c r="J235" s="10"/>
      <c r="K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</row>
    <row r="236" spans="2:49" x14ac:dyDescent="0.2">
      <c r="C236" s="51"/>
      <c r="E236" s="47"/>
      <c r="F236" s="50"/>
      <c r="G236" s="49"/>
      <c r="H236" s="49"/>
      <c r="J236" s="10"/>
      <c r="K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</row>
    <row r="237" spans="2:49" x14ac:dyDescent="0.2">
      <c r="C237" s="51"/>
      <c r="E237" s="49"/>
      <c r="F237" s="50"/>
      <c r="G237" s="49"/>
      <c r="H237" s="49"/>
      <c r="J237" s="10"/>
      <c r="K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</row>
    <row r="238" spans="2:49" x14ac:dyDescent="0.2">
      <c r="C238" s="51"/>
      <c r="F238" s="50"/>
      <c r="J238" s="10"/>
      <c r="K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</row>
    <row r="239" spans="2:49" x14ac:dyDescent="0.2">
      <c r="C239" s="48"/>
      <c r="E239" s="47"/>
      <c r="F239" s="50"/>
      <c r="G239" s="47"/>
      <c r="H239" s="47"/>
      <c r="J239" s="10"/>
      <c r="K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</row>
    <row r="240" spans="2:49" x14ac:dyDescent="0.2">
      <c r="B240" s="25"/>
      <c r="C240" s="51"/>
      <c r="E240" s="49"/>
      <c r="F240" s="50"/>
      <c r="G240" s="49"/>
      <c r="H240" s="49"/>
      <c r="J240" s="10"/>
      <c r="K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</row>
    <row r="241" spans="2:49" x14ac:dyDescent="0.2">
      <c r="B241" s="25"/>
      <c r="C241" s="51"/>
      <c r="D241" s="23"/>
      <c r="E241" s="49"/>
      <c r="F241" s="49"/>
      <c r="G241" s="49"/>
      <c r="H241" s="49"/>
      <c r="I241" s="49"/>
      <c r="J241" s="23"/>
      <c r="K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</row>
    <row r="242" spans="2:49" x14ac:dyDescent="0.2">
      <c r="B242" s="25"/>
      <c r="C242" s="51"/>
      <c r="D242" s="23"/>
      <c r="E242" s="49"/>
      <c r="F242" s="49"/>
      <c r="G242" s="49"/>
      <c r="H242" s="49"/>
      <c r="I242" s="49"/>
      <c r="J242" s="23"/>
      <c r="K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</row>
    <row r="243" spans="2:49" x14ac:dyDescent="0.2">
      <c r="B243" s="25"/>
      <c r="C243" s="51"/>
      <c r="F243" s="50"/>
      <c r="J243" s="10"/>
      <c r="K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</row>
    <row r="244" spans="2:49" x14ac:dyDescent="0.2">
      <c r="C244" s="51"/>
      <c r="F244" s="50"/>
      <c r="J244" s="10"/>
      <c r="K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</row>
    <row r="245" spans="2:49" x14ac:dyDescent="0.2">
      <c r="C245" s="51"/>
      <c r="D245" s="23"/>
      <c r="E245" s="49"/>
      <c r="F245" s="49"/>
      <c r="G245" s="49"/>
      <c r="H245" s="49"/>
      <c r="J245" s="10"/>
      <c r="K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</row>
    <row r="246" spans="2:49" x14ac:dyDescent="0.2">
      <c r="C246" s="51"/>
      <c r="E246" s="49"/>
      <c r="F246" s="49"/>
      <c r="G246" s="49"/>
      <c r="H246" s="49"/>
      <c r="J246" s="10"/>
      <c r="K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</row>
    <row r="247" spans="2:49" x14ac:dyDescent="0.2">
      <c r="C247" s="51"/>
      <c r="D247" s="23"/>
      <c r="E247" s="49"/>
      <c r="F247" s="49"/>
      <c r="G247" s="49"/>
      <c r="H247" s="49"/>
      <c r="J247" s="10"/>
      <c r="K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</row>
    <row r="248" spans="2:49" x14ac:dyDescent="0.2">
      <c r="C248" s="51"/>
      <c r="E248" s="47"/>
      <c r="F248" s="50"/>
      <c r="G248" s="49"/>
      <c r="H248" s="49"/>
      <c r="J248" s="10"/>
      <c r="K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</row>
    <row r="249" spans="2:49" x14ac:dyDescent="0.2">
      <c r="C249" s="51"/>
      <c r="F249" s="50"/>
      <c r="J249" s="10"/>
      <c r="K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</row>
    <row r="250" spans="2:49" x14ac:dyDescent="0.2">
      <c r="C250" s="51"/>
      <c r="F250" s="50"/>
      <c r="J250" s="10"/>
      <c r="K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</row>
    <row r="251" spans="2:49" x14ac:dyDescent="0.2">
      <c r="C251" s="51"/>
      <c r="E251" s="49"/>
      <c r="F251" s="50"/>
      <c r="G251" s="49"/>
      <c r="H251" s="49"/>
      <c r="J251" s="10"/>
      <c r="K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</row>
    <row r="252" spans="2:49" x14ac:dyDescent="0.2">
      <c r="C252" s="51"/>
      <c r="E252" s="49"/>
      <c r="F252" s="50"/>
      <c r="G252" s="49"/>
      <c r="H252" s="49"/>
      <c r="J252" s="10"/>
      <c r="K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</row>
    <row r="253" spans="2:49" x14ac:dyDescent="0.2">
      <c r="C253" s="51"/>
      <c r="F253" s="50"/>
      <c r="J253" s="10"/>
      <c r="K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</row>
    <row r="254" spans="2:49" x14ac:dyDescent="0.2">
      <c r="C254" s="51"/>
      <c r="F254" s="50"/>
      <c r="J254" s="10"/>
      <c r="K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</row>
    <row r="255" spans="2:49" x14ac:dyDescent="0.2">
      <c r="C255" s="51"/>
      <c r="F255" s="50"/>
      <c r="J255" s="10"/>
      <c r="K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</row>
    <row r="256" spans="2:49" x14ac:dyDescent="0.2">
      <c r="C256" s="51"/>
      <c r="F256" s="50"/>
      <c r="J256" s="10"/>
      <c r="K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</row>
    <row r="257" spans="2:49" x14ac:dyDescent="0.2">
      <c r="C257" s="51"/>
      <c r="F257" s="50"/>
      <c r="J257" s="10"/>
      <c r="K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</row>
    <row r="258" spans="2:49" x14ac:dyDescent="0.2">
      <c r="C258" s="51"/>
      <c r="F258" s="50"/>
      <c r="J258" s="10"/>
      <c r="K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</row>
    <row r="259" spans="2:49" x14ac:dyDescent="0.2">
      <c r="C259" s="51"/>
      <c r="F259" s="50"/>
      <c r="J259" s="10"/>
      <c r="K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</row>
    <row r="260" spans="2:49" x14ac:dyDescent="0.2">
      <c r="C260" s="51"/>
      <c r="F260" s="50"/>
      <c r="J260" s="10"/>
      <c r="K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</row>
    <row r="261" spans="2:49" x14ac:dyDescent="0.2">
      <c r="C261" s="51"/>
      <c r="F261" s="50"/>
      <c r="J261" s="10"/>
      <c r="K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</row>
    <row r="262" spans="2:49" x14ac:dyDescent="0.2">
      <c r="C262" s="51"/>
      <c r="E262" s="49"/>
      <c r="F262" s="50"/>
      <c r="G262" s="49"/>
      <c r="H262" s="49"/>
      <c r="J262" s="10"/>
      <c r="K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</row>
    <row r="263" spans="2:49" x14ac:dyDescent="0.2">
      <c r="C263" s="51"/>
      <c r="E263" s="49"/>
      <c r="F263" s="50"/>
      <c r="G263" s="49"/>
      <c r="H263" s="49"/>
      <c r="J263" s="10"/>
      <c r="K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</row>
    <row r="264" spans="2:49" x14ac:dyDescent="0.2">
      <c r="C264" s="51"/>
      <c r="D264" s="23"/>
      <c r="E264" s="49"/>
      <c r="F264" s="49"/>
      <c r="G264" s="49"/>
      <c r="H264" s="49"/>
      <c r="I264" s="49"/>
      <c r="J264" s="23"/>
      <c r="K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</row>
    <row r="265" spans="2:49" x14ac:dyDescent="0.2">
      <c r="C265" s="51"/>
      <c r="F265" s="50"/>
      <c r="J265" s="10"/>
      <c r="K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</row>
    <row r="266" spans="2:49" x14ac:dyDescent="0.2">
      <c r="C266" s="51"/>
      <c r="F266" s="50"/>
      <c r="J266" s="10"/>
      <c r="K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</row>
    <row r="267" spans="2:49" x14ac:dyDescent="0.2">
      <c r="C267" s="51"/>
      <c r="E267" s="49"/>
      <c r="F267" s="50"/>
      <c r="G267" s="49"/>
      <c r="H267" s="49"/>
      <c r="J267" s="10"/>
      <c r="K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</row>
    <row r="268" spans="2:49" x14ac:dyDescent="0.2">
      <c r="B268" s="25"/>
      <c r="C268" s="51"/>
      <c r="E268" s="49"/>
      <c r="F268" s="50"/>
      <c r="G268" s="49"/>
      <c r="H268" s="49"/>
      <c r="J268" s="10"/>
      <c r="K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</row>
    <row r="269" spans="2:49" x14ac:dyDescent="0.2">
      <c r="C269" s="51"/>
      <c r="E269" s="49"/>
      <c r="F269" s="50"/>
      <c r="G269" s="49"/>
      <c r="H269" s="49"/>
      <c r="J269" s="10"/>
      <c r="K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</row>
    <row r="270" spans="2:49" x14ac:dyDescent="0.2">
      <c r="C270" s="23"/>
      <c r="E270" s="47"/>
      <c r="F270" s="50"/>
      <c r="G270" s="49"/>
      <c r="H270" s="49"/>
      <c r="J270" s="10"/>
      <c r="K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</row>
    <row r="271" spans="2:49" x14ac:dyDescent="0.2">
      <c r="C271" s="51"/>
      <c r="F271" s="50"/>
      <c r="J271" s="10"/>
      <c r="K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</row>
    <row r="272" spans="2:49" x14ac:dyDescent="0.2">
      <c r="C272" s="51"/>
      <c r="F272" s="50"/>
      <c r="J272" s="10"/>
      <c r="K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</row>
    <row r="273" spans="3:49" x14ac:dyDescent="0.2">
      <c r="C273" s="51"/>
      <c r="F273" s="50"/>
      <c r="J273" s="10"/>
      <c r="K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</row>
    <row r="274" spans="3:49" x14ac:dyDescent="0.2">
      <c r="C274" s="51"/>
      <c r="E274" s="47"/>
      <c r="F274" s="50"/>
      <c r="G274" s="49"/>
      <c r="H274" s="49"/>
      <c r="J274" s="10"/>
      <c r="K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</row>
    <row r="275" spans="3:49" x14ac:dyDescent="0.2">
      <c r="C275" s="51"/>
      <c r="F275" s="50"/>
      <c r="J275" s="10"/>
      <c r="K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</row>
    <row r="276" spans="3:49" x14ac:dyDescent="0.2">
      <c r="C276" s="51"/>
      <c r="F276" s="50"/>
      <c r="J276" s="10"/>
      <c r="K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</row>
    <row r="277" spans="3:49" x14ac:dyDescent="0.2">
      <c r="C277" s="51"/>
      <c r="F277" s="50"/>
      <c r="J277" s="10"/>
      <c r="K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</row>
    <row r="278" spans="3:49" x14ac:dyDescent="0.2">
      <c r="C278" s="51"/>
      <c r="F278" s="50"/>
      <c r="J278" s="10"/>
      <c r="K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</row>
    <row r="279" spans="3:49" x14ac:dyDescent="0.2">
      <c r="C279" s="51"/>
      <c r="F279" s="50"/>
      <c r="J279" s="10"/>
      <c r="K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</row>
    <row r="280" spans="3:49" x14ac:dyDescent="0.2">
      <c r="C280" s="51"/>
      <c r="F280" s="50"/>
      <c r="J280" s="10"/>
      <c r="K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</row>
    <row r="281" spans="3:49" x14ac:dyDescent="0.2">
      <c r="C281" s="51"/>
      <c r="F281" s="50"/>
      <c r="J281" s="10"/>
      <c r="K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</row>
    <row r="282" spans="3:49" x14ac:dyDescent="0.2">
      <c r="C282" s="51"/>
      <c r="F282" s="50"/>
      <c r="J282" s="10"/>
      <c r="K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</row>
    <row r="283" spans="3:49" x14ac:dyDescent="0.2">
      <c r="C283" s="51"/>
      <c r="F283" s="50"/>
      <c r="J283" s="10"/>
      <c r="K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</row>
    <row r="284" spans="3:49" x14ac:dyDescent="0.2">
      <c r="C284" s="51"/>
      <c r="F284" s="50"/>
      <c r="J284" s="10"/>
      <c r="K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</row>
    <row r="285" spans="3:49" x14ac:dyDescent="0.2">
      <c r="C285" s="51"/>
      <c r="E285" s="49"/>
      <c r="F285" s="50"/>
      <c r="G285" s="49"/>
      <c r="H285" s="49"/>
      <c r="J285" s="10"/>
      <c r="K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</row>
    <row r="286" spans="3:49" x14ac:dyDescent="0.2">
      <c r="C286" s="52"/>
      <c r="F286" s="50"/>
      <c r="J286" s="10"/>
      <c r="K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</row>
    <row r="287" spans="3:49" x14ac:dyDescent="0.2">
      <c r="C287" s="51"/>
      <c r="F287" s="50"/>
      <c r="J287" s="10"/>
      <c r="K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</row>
    <row r="288" spans="3:49" x14ac:dyDescent="0.2">
      <c r="C288" s="51"/>
      <c r="F288" s="50"/>
      <c r="G288" s="79"/>
      <c r="H288" s="79"/>
      <c r="J288" s="10"/>
      <c r="K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</row>
    <row r="289" spans="3:49" x14ac:dyDescent="0.2">
      <c r="C289" s="51"/>
      <c r="F289" s="50"/>
      <c r="J289" s="10"/>
      <c r="K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</row>
    <row r="290" spans="3:49" x14ac:dyDescent="0.2">
      <c r="C290" s="51"/>
      <c r="F290" s="50"/>
      <c r="J290" s="10"/>
      <c r="K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</row>
    <row r="291" spans="3:49" x14ac:dyDescent="0.2">
      <c r="C291" s="23"/>
      <c r="E291" s="47"/>
      <c r="F291" s="50"/>
      <c r="G291" s="49"/>
      <c r="H291" s="49"/>
      <c r="J291" s="10"/>
      <c r="K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</row>
    <row r="292" spans="3:49" x14ac:dyDescent="0.2">
      <c r="C292" s="51"/>
      <c r="F292" s="50"/>
      <c r="J292" s="10"/>
      <c r="K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</row>
    <row r="293" spans="3:49" x14ac:dyDescent="0.2">
      <c r="C293" s="51"/>
      <c r="F293" s="50"/>
      <c r="J293" s="10"/>
      <c r="K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</row>
    <row r="294" spans="3:49" x14ac:dyDescent="0.2">
      <c r="C294" s="51"/>
      <c r="F294" s="50"/>
      <c r="J294" s="10"/>
      <c r="K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</row>
    <row r="295" spans="3:49" x14ac:dyDescent="0.2">
      <c r="C295" s="51"/>
      <c r="F295" s="50"/>
      <c r="J295" s="10"/>
      <c r="K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</row>
    <row r="296" spans="3:49" x14ac:dyDescent="0.2">
      <c r="C296" s="51"/>
      <c r="F296" s="50"/>
      <c r="J296" s="10"/>
      <c r="K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</row>
    <row r="297" spans="3:49" x14ac:dyDescent="0.2">
      <c r="C297" s="51"/>
      <c r="D297" s="23"/>
      <c r="E297" s="49"/>
      <c r="F297" s="49"/>
      <c r="G297" s="49"/>
      <c r="H297" s="49"/>
      <c r="I297" s="49"/>
      <c r="J297" s="23"/>
      <c r="K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</row>
    <row r="298" spans="3:49" x14ac:dyDescent="0.2">
      <c r="C298" s="51"/>
      <c r="F298" s="50"/>
      <c r="J298" s="10"/>
      <c r="K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</row>
    <row r="299" spans="3:49" x14ac:dyDescent="0.2">
      <c r="C299" s="51"/>
      <c r="F299" s="50"/>
      <c r="J299" s="10"/>
      <c r="K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</row>
    <row r="300" spans="3:49" x14ac:dyDescent="0.2">
      <c r="C300" s="51"/>
      <c r="F300" s="50"/>
      <c r="J300" s="10"/>
      <c r="K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</row>
    <row r="301" spans="3:49" x14ac:dyDescent="0.2">
      <c r="C301" s="51"/>
      <c r="E301" s="49"/>
      <c r="F301" s="50"/>
      <c r="G301" s="49"/>
      <c r="H301" s="49"/>
      <c r="J301" s="10"/>
      <c r="K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</row>
    <row r="302" spans="3:49" x14ac:dyDescent="0.2">
      <c r="C302" s="51"/>
      <c r="F302" s="50"/>
      <c r="J302" s="10"/>
      <c r="K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</row>
    <row r="303" spans="3:49" x14ac:dyDescent="0.2">
      <c r="C303" s="51"/>
      <c r="F303" s="50"/>
      <c r="J303" s="10"/>
      <c r="K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</row>
    <row r="304" spans="3:49" x14ac:dyDescent="0.2">
      <c r="C304" s="51"/>
      <c r="E304" s="49"/>
      <c r="F304" s="50"/>
      <c r="G304" s="49"/>
      <c r="H304" s="49"/>
      <c r="J304" s="10"/>
      <c r="K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</row>
    <row r="305" spans="2:49" x14ac:dyDescent="0.2">
      <c r="C305" s="51"/>
      <c r="E305" s="49"/>
      <c r="F305" s="50"/>
      <c r="G305" s="49"/>
      <c r="H305" s="49"/>
      <c r="J305" s="10"/>
      <c r="K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</row>
    <row r="306" spans="2:49" x14ac:dyDescent="0.2">
      <c r="C306" s="51"/>
      <c r="F306" s="50"/>
      <c r="J306" s="10"/>
      <c r="K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</row>
    <row r="307" spans="2:49" x14ac:dyDescent="0.2">
      <c r="C307" s="51"/>
      <c r="F307" s="50"/>
      <c r="J307" s="10"/>
      <c r="K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</row>
    <row r="308" spans="2:49" x14ac:dyDescent="0.2">
      <c r="C308" s="51"/>
      <c r="F308" s="50"/>
      <c r="J308" s="10"/>
      <c r="K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</row>
    <row r="309" spans="2:49" x14ac:dyDescent="0.2">
      <c r="E309" s="47"/>
      <c r="F309" s="50"/>
      <c r="G309" s="47"/>
      <c r="H309" s="47"/>
      <c r="J309" s="10"/>
      <c r="K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</row>
    <row r="310" spans="2:49" x14ac:dyDescent="0.2">
      <c r="C310" s="51"/>
      <c r="E310" s="49"/>
      <c r="F310" s="50"/>
      <c r="G310" s="49"/>
      <c r="H310" s="49"/>
      <c r="J310" s="10"/>
      <c r="K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</row>
    <row r="311" spans="2:49" x14ac:dyDescent="0.2">
      <c r="C311" s="51"/>
      <c r="E311" s="49"/>
      <c r="F311" s="50"/>
      <c r="G311" s="49"/>
      <c r="H311" s="49"/>
      <c r="J311" s="10"/>
      <c r="K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</row>
    <row r="312" spans="2:49" x14ac:dyDescent="0.2">
      <c r="C312" s="51"/>
      <c r="E312" s="47"/>
      <c r="F312" s="50"/>
      <c r="G312" s="49"/>
      <c r="H312" s="49"/>
      <c r="J312" s="10"/>
      <c r="K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</row>
    <row r="313" spans="2:49" x14ac:dyDescent="0.2">
      <c r="C313" s="51"/>
      <c r="F313" s="50"/>
      <c r="J313" s="10"/>
      <c r="K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</row>
    <row r="314" spans="2:49" x14ac:dyDescent="0.2">
      <c r="C314" s="51"/>
      <c r="F314" s="50"/>
      <c r="J314" s="10"/>
      <c r="K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</row>
    <row r="315" spans="2:49" x14ac:dyDescent="0.2">
      <c r="B315" s="25"/>
      <c r="C315" s="51"/>
      <c r="F315" s="50"/>
      <c r="J315" s="10"/>
      <c r="K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</row>
    <row r="316" spans="2:49" x14ac:dyDescent="0.2">
      <c r="B316" s="25"/>
      <c r="C316" s="51"/>
      <c r="E316" s="49"/>
      <c r="F316" s="50"/>
      <c r="J316" s="10"/>
      <c r="K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</row>
    <row r="317" spans="2:49" x14ac:dyDescent="0.2">
      <c r="C317" s="51"/>
      <c r="E317" s="49"/>
      <c r="F317" s="50"/>
      <c r="J317" s="10"/>
      <c r="K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</row>
    <row r="318" spans="2:49" x14ac:dyDescent="0.2">
      <c r="C318" s="51"/>
      <c r="F318" s="50"/>
      <c r="J318" s="10"/>
      <c r="K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</row>
    <row r="319" spans="2:49" x14ac:dyDescent="0.2">
      <c r="C319" s="51"/>
      <c r="F319" s="50"/>
      <c r="J319" s="10"/>
      <c r="K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</row>
    <row r="320" spans="2:49" x14ac:dyDescent="0.2">
      <c r="C320" s="51"/>
      <c r="F320" s="50"/>
      <c r="J320" s="10"/>
      <c r="K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</row>
    <row r="321" spans="3:49" x14ac:dyDescent="0.2">
      <c r="C321" s="51"/>
      <c r="F321" s="50"/>
      <c r="J321" s="10"/>
      <c r="K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</row>
    <row r="322" spans="3:49" x14ac:dyDescent="0.2">
      <c r="C322" s="51"/>
      <c r="F322" s="50"/>
      <c r="J322" s="10"/>
      <c r="K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</row>
    <row r="323" spans="3:49" x14ac:dyDescent="0.2">
      <c r="C323" s="51"/>
      <c r="F323" s="50"/>
      <c r="J323" s="10"/>
      <c r="K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</row>
    <row r="324" spans="3:49" x14ac:dyDescent="0.2">
      <c r="C324" s="51"/>
      <c r="E324" s="47"/>
      <c r="F324" s="50"/>
      <c r="G324" s="49"/>
      <c r="H324" s="49"/>
      <c r="J324" s="10"/>
      <c r="K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</row>
    <row r="325" spans="3:49" x14ac:dyDescent="0.2">
      <c r="C325" s="51"/>
      <c r="F325" s="50"/>
      <c r="J325" s="10"/>
      <c r="K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</row>
    <row r="326" spans="3:49" x14ac:dyDescent="0.2">
      <c r="C326" s="51"/>
      <c r="F326" s="50"/>
      <c r="J326" s="10"/>
      <c r="K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</row>
    <row r="327" spans="3:49" x14ac:dyDescent="0.2">
      <c r="C327" s="51"/>
      <c r="F327" s="50"/>
      <c r="J327" s="10"/>
      <c r="K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</row>
    <row r="328" spans="3:49" x14ac:dyDescent="0.2">
      <c r="C328" s="23"/>
      <c r="E328" s="47"/>
      <c r="F328" s="50"/>
      <c r="G328" s="49"/>
      <c r="H328" s="49"/>
      <c r="J328" s="10"/>
      <c r="K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</row>
    <row r="329" spans="3:49" x14ac:dyDescent="0.2">
      <c r="C329" s="51"/>
      <c r="F329" s="50"/>
      <c r="J329" s="10"/>
      <c r="K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</row>
    <row r="330" spans="3:49" x14ac:dyDescent="0.2">
      <c r="C330" s="51"/>
      <c r="F330" s="50"/>
      <c r="J330" s="10"/>
      <c r="K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</row>
    <row r="331" spans="3:49" x14ac:dyDescent="0.2">
      <c r="C331" s="48"/>
      <c r="E331" s="47"/>
      <c r="F331" s="50"/>
      <c r="G331" s="47"/>
      <c r="H331" s="47"/>
      <c r="J331" s="10"/>
      <c r="K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</row>
    <row r="332" spans="3:49" x14ac:dyDescent="0.2">
      <c r="C332" s="51"/>
      <c r="F332" s="50"/>
      <c r="J332" s="10"/>
      <c r="K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</row>
    <row r="333" spans="3:49" x14ac:dyDescent="0.2">
      <c r="C333" s="51"/>
      <c r="F333" s="50"/>
      <c r="J333" s="10"/>
      <c r="K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</row>
    <row r="334" spans="3:49" x14ac:dyDescent="0.2">
      <c r="C334" s="51"/>
      <c r="F334" s="50"/>
      <c r="J334" s="10"/>
      <c r="K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</row>
    <row r="335" spans="3:49" x14ac:dyDescent="0.2">
      <c r="C335" s="51"/>
      <c r="F335" s="50"/>
      <c r="J335" s="10"/>
      <c r="K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</row>
    <row r="336" spans="3:49" x14ac:dyDescent="0.2">
      <c r="C336" s="51"/>
      <c r="F336" s="50"/>
      <c r="J336" s="10"/>
      <c r="K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</row>
    <row r="337" spans="3:49" x14ac:dyDescent="0.2">
      <c r="C337" s="23"/>
      <c r="E337" s="47"/>
      <c r="F337" s="50"/>
      <c r="G337" s="49"/>
      <c r="H337" s="49"/>
      <c r="J337" s="10"/>
      <c r="K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</row>
    <row r="338" spans="3:49" x14ac:dyDescent="0.2">
      <c r="C338" s="51"/>
      <c r="F338" s="50"/>
      <c r="J338" s="10"/>
      <c r="K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</row>
    <row r="339" spans="3:49" x14ac:dyDescent="0.2">
      <c r="C339" s="51"/>
      <c r="F339" s="50"/>
      <c r="J339" s="10"/>
      <c r="K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</row>
    <row r="340" spans="3:49" x14ac:dyDescent="0.2">
      <c r="C340" s="51"/>
      <c r="F340" s="50"/>
      <c r="J340" s="10"/>
      <c r="K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</row>
    <row r="341" spans="3:49" x14ac:dyDescent="0.2">
      <c r="C341" s="51"/>
      <c r="F341" s="50"/>
      <c r="J341" s="10"/>
      <c r="K341" s="89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3:49" x14ac:dyDescent="0.2">
      <c r="C342" s="51"/>
      <c r="F342" s="50"/>
      <c r="J342" s="10"/>
      <c r="K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</row>
    <row r="343" spans="3:49" x14ac:dyDescent="0.2">
      <c r="C343" s="51"/>
      <c r="F343" s="50"/>
      <c r="J343" s="10"/>
      <c r="K343" s="89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</row>
    <row r="344" spans="3:49" x14ac:dyDescent="0.2">
      <c r="C344" s="51"/>
      <c r="F344" s="50"/>
      <c r="J344" s="10"/>
      <c r="K344" s="89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3:49" x14ac:dyDescent="0.2">
      <c r="C345" s="51"/>
      <c r="F345" s="50"/>
      <c r="J345" s="10"/>
      <c r="K345" s="89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3:49" x14ac:dyDescent="0.2">
      <c r="C346" s="51"/>
      <c r="F346" s="50"/>
      <c r="J346" s="10"/>
      <c r="K346" s="89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3:49" x14ac:dyDescent="0.2">
      <c r="C347" s="51"/>
      <c r="F347" s="50"/>
      <c r="G347" s="79"/>
      <c r="H347" s="79"/>
      <c r="J347" s="10"/>
      <c r="K347" s="89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</row>
    <row r="348" spans="3:49" x14ac:dyDescent="0.2">
      <c r="C348" s="51"/>
      <c r="E348" s="49"/>
      <c r="F348" s="50"/>
      <c r="G348" s="49"/>
      <c r="H348" s="49"/>
      <c r="J348" s="10"/>
      <c r="K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</row>
    <row r="349" spans="3:49" x14ac:dyDescent="0.2">
      <c r="C349" s="51"/>
      <c r="F349" s="50"/>
      <c r="J349" s="10"/>
      <c r="K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</row>
    <row r="350" spans="3:49" x14ac:dyDescent="0.2">
      <c r="C350" s="51"/>
      <c r="F350" s="50"/>
      <c r="J350" s="10"/>
      <c r="K350" s="89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3:49" x14ac:dyDescent="0.2">
      <c r="C351" s="51"/>
      <c r="F351" s="50"/>
      <c r="J351" s="10"/>
      <c r="K351" s="89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3:49" x14ac:dyDescent="0.2">
      <c r="C352" s="51"/>
      <c r="E352" s="47"/>
      <c r="F352" s="50"/>
      <c r="G352" s="49"/>
      <c r="H352" s="49"/>
      <c r="J352" s="10"/>
      <c r="K352" s="89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3:48" x14ac:dyDescent="0.2">
      <c r="C353" s="51"/>
      <c r="E353" s="47"/>
      <c r="F353" s="50"/>
      <c r="G353" s="49"/>
      <c r="H353" s="49"/>
      <c r="J353" s="10"/>
      <c r="K353" s="89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3:48" x14ac:dyDescent="0.2">
      <c r="C354" s="51"/>
      <c r="F354" s="50"/>
      <c r="J354" s="10"/>
      <c r="K354" s="89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3:48" x14ac:dyDescent="0.2">
      <c r="C355" s="51"/>
      <c r="F355" s="50"/>
      <c r="J355" s="10"/>
      <c r="K355" s="89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3:48" x14ac:dyDescent="0.2">
      <c r="C356" s="51"/>
      <c r="F356" s="50"/>
      <c r="J356" s="10"/>
      <c r="K356" s="89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3:48" x14ac:dyDescent="0.2">
      <c r="C357" s="51"/>
      <c r="F357" s="50"/>
      <c r="J357" s="10"/>
      <c r="K357" s="89"/>
    </row>
    <row r="358" spans="3:48" x14ac:dyDescent="0.2">
      <c r="C358" s="51"/>
      <c r="E358" s="47"/>
      <c r="F358" s="50"/>
      <c r="G358" s="49"/>
      <c r="H358" s="49"/>
      <c r="J358" s="10"/>
      <c r="K358" s="89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3:48" x14ac:dyDescent="0.2">
      <c r="C359" s="51"/>
      <c r="F359" s="50"/>
      <c r="J359" s="10"/>
      <c r="K359" s="89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3:48" x14ac:dyDescent="0.2">
      <c r="C360" s="51"/>
      <c r="F360" s="50"/>
      <c r="J360" s="10"/>
      <c r="K360" s="89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3:48" x14ac:dyDescent="0.2">
      <c r="C361" s="51"/>
      <c r="F361" s="50"/>
      <c r="J361" s="10"/>
      <c r="K361" s="89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3:48" x14ac:dyDescent="0.2">
      <c r="C362" s="51"/>
      <c r="F362" s="50"/>
      <c r="J362" s="10"/>
      <c r="K362" s="89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3:48" x14ac:dyDescent="0.2">
      <c r="C363" s="51"/>
      <c r="F363" s="50"/>
      <c r="J363" s="10"/>
      <c r="K363" s="89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3:48" x14ac:dyDescent="0.2">
      <c r="C364" s="51"/>
      <c r="F364" s="50"/>
      <c r="J364" s="10"/>
      <c r="K364" s="89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3:48" x14ac:dyDescent="0.2">
      <c r="C365" s="51"/>
      <c r="F365" s="50"/>
      <c r="J365" s="10"/>
      <c r="K365" s="89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3:48" x14ac:dyDescent="0.2">
      <c r="C366" s="51"/>
      <c r="F366" s="50"/>
      <c r="J366" s="10"/>
      <c r="K366" s="89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3:48" x14ac:dyDescent="0.2">
      <c r="C367" s="51"/>
      <c r="F367" s="50"/>
      <c r="J367" s="10"/>
      <c r="K367" s="89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3:48" x14ac:dyDescent="0.2">
      <c r="C368" s="51"/>
      <c r="F368" s="50"/>
      <c r="J368" s="10"/>
      <c r="K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</row>
    <row r="369" spans="3:48" x14ac:dyDescent="0.2">
      <c r="C369" s="51"/>
      <c r="F369" s="50"/>
      <c r="J369" s="10"/>
      <c r="K369" s="89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3:48" x14ac:dyDescent="0.2">
      <c r="C370" s="51"/>
      <c r="E370" s="47"/>
      <c r="F370" s="50"/>
      <c r="G370" s="49"/>
      <c r="H370" s="49"/>
      <c r="J370" s="10"/>
      <c r="K370" s="89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3:48" x14ac:dyDescent="0.2">
      <c r="C371" s="51"/>
      <c r="F371" s="50"/>
      <c r="J371" s="10"/>
      <c r="K371" s="89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3:48" x14ac:dyDescent="0.2">
      <c r="C372" s="51"/>
      <c r="F372" s="50"/>
      <c r="J372" s="10"/>
      <c r="K372" s="89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3:48" x14ac:dyDescent="0.2">
      <c r="C373" s="51"/>
      <c r="F373" s="50"/>
      <c r="J373" s="10"/>
      <c r="K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</row>
    <row r="374" spans="3:48" x14ac:dyDescent="0.2">
      <c r="C374" s="51"/>
      <c r="F374" s="50"/>
      <c r="K374" s="89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3:48" x14ac:dyDescent="0.2">
      <c r="C375" s="51"/>
      <c r="F375" s="50"/>
      <c r="K375" s="89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3:48" x14ac:dyDescent="0.2">
      <c r="C376" s="51"/>
      <c r="F376" s="50"/>
      <c r="K376" s="89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3:48" x14ac:dyDescent="0.2">
      <c r="C377" s="51"/>
      <c r="F377" s="50"/>
      <c r="K377" s="89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3:48" x14ac:dyDescent="0.2">
      <c r="C378" s="51"/>
      <c r="F378" s="50"/>
      <c r="K378" s="89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3:48" x14ac:dyDescent="0.2">
      <c r="C379" s="51"/>
      <c r="F379" s="50"/>
      <c r="K379" s="89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3:48" x14ac:dyDescent="0.2">
      <c r="C380" s="51"/>
      <c r="F380" s="50"/>
      <c r="K380" s="89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3:48" x14ac:dyDescent="0.2">
      <c r="C381" s="51"/>
      <c r="F381" s="50"/>
      <c r="K381" s="89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</row>
    <row r="382" spans="3:48" x14ac:dyDescent="0.2">
      <c r="C382" s="51"/>
      <c r="F382" s="50"/>
      <c r="K382" s="89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3:48" x14ac:dyDescent="0.2">
      <c r="C383" s="51"/>
      <c r="F383" s="50"/>
      <c r="K383" s="89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3:48" x14ac:dyDescent="0.2">
      <c r="C384" s="51"/>
      <c r="F384" s="50"/>
      <c r="K384" s="89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3:48" x14ac:dyDescent="0.2">
      <c r="C385" s="51"/>
      <c r="F385" s="50"/>
      <c r="K385" s="89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3:48" x14ac:dyDescent="0.2">
      <c r="C386" s="51"/>
      <c r="F386" s="50"/>
      <c r="K386" s="89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3:48" x14ac:dyDescent="0.2">
      <c r="C387" s="51"/>
      <c r="F387" s="50"/>
      <c r="K387" s="89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3:48" x14ac:dyDescent="0.2">
      <c r="C388" s="51"/>
      <c r="F388" s="50"/>
      <c r="K388" s="89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3:48" x14ac:dyDescent="0.2">
      <c r="C389" s="51"/>
      <c r="F389" s="50"/>
      <c r="K389" s="89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3:48" x14ac:dyDescent="0.2">
      <c r="C390" s="51"/>
      <c r="F390" s="50"/>
      <c r="K390" s="89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3:48" x14ac:dyDescent="0.2">
      <c r="C391" s="51"/>
      <c r="F391" s="50"/>
      <c r="K391" s="89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3:48" x14ac:dyDescent="0.2">
      <c r="C392" s="48"/>
      <c r="E392" s="47"/>
      <c r="F392" s="50"/>
      <c r="G392" s="47"/>
      <c r="H392" s="47"/>
      <c r="K392" s="89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3:48" x14ac:dyDescent="0.2">
      <c r="C393" s="51"/>
      <c r="F393" s="50"/>
      <c r="K393" s="89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3:48" x14ac:dyDescent="0.2">
      <c r="C394" s="51"/>
      <c r="F394" s="50"/>
      <c r="K394" s="89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3:48" x14ac:dyDescent="0.2">
      <c r="C395" s="51"/>
      <c r="K395" s="89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3:48" x14ac:dyDescent="0.2">
      <c r="C396" s="51"/>
      <c r="K396" s="89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3:48" x14ac:dyDescent="0.2">
      <c r="C397" s="51"/>
      <c r="K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</row>
    <row r="398" spans="3:48" x14ac:dyDescent="0.2">
      <c r="C398" s="51"/>
      <c r="K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</row>
    <row r="399" spans="3:48" x14ac:dyDescent="0.2">
      <c r="C399" s="51"/>
      <c r="K399" s="89"/>
    </row>
    <row r="400" spans="3:48" x14ac:dyDescent="0.2">
      <c r="C400" s="51"/>
      <c r="K400" s="89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3:48" x14ac:dyDescent="0.2">
      <c r="C401" s="51"/>
      <c r="K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</row>
    <row r="402" spans="3:48" x14ac:dyDescent="0.2">
      <c r="C402" s="51"/>
      <c r="K402" s="89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3:48" x14ac:dyDescent="0.2">
      <c r="C403" s="51"/>
      <c r="K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</row>
    <row r="404" spans="3:48" x14ac:dyDescent="0.2">
      <c r="C404" s="51"/>
      <c r="K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</row>
    <row r="405" spans="3:48" x14ac:dyDescent="0.2">
      <c r="C405" s="51"/>
      <c r="K405" s="89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3:48" x14ac:dyDescent="0.2">
      <c r="C406" s="51"/>
      <c r="K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</row>
    <row r="407" spans="3:48" x14ac:dyDescent="0.2">
      <c r="C407" s="51"/>
      <c r="K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</row>
    <row r="408" spans="3:48" x14ac:dyDescent="0.2">
      <c r="C408" s="51"/>
      <c r="K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</row>
    <row r="409" spans="3:48" x14ac:dyDescent="0.2">
      <c r="C409" s="51"/>
      <c r="K409" s="89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</row>
    <row r="410" spans="3:48" x14ac:dyDescent="0.2">
      <c r="C410" s="51"/>
      <c r="K410" s="89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3:48" x14ac:dyDescent="0.2">
      <c r="C411" s="51"/>
      <c r="K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</row>
    <row r="412" spans="3:48" x14ac:dyDescent="0.2">
      <c r="C412" s="51"/>
      <c r="K412" s="89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</row>
    <row r="413" spans="3:48" x14ac:dyDescent="0.2">
      <c r="C413" s="51"/>
      <c r="K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</row>
    <row r="414" spans="3:48" x14ac:dyDescent="0.2">
      <c r="C414" s="51"/>
      <c r="K414" s="89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3:48" x14ac:dyDescent="0.2">
      <c r="C415" s="51"/>
      <c r="K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</row>
    <row r="416" spans="3:48" x14ac:dyDescent="0.2">
      <c r="C416" s="51"/>
      <c r="K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</row>
    <row r="417" spans="3:48" x14ac:dyDescent="0.2">
      <c r="C417" s="51"/>
      <c r="K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</row>
    <row r="418" spans="3:48" x14ac:dyDescent="0.2">
      <c r="C418" s="51"/>
      <c r="K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</row>
    <row r="419" spans="3:48" x14ac:dyDescent="0.2">
      <c r="C419" s="51"/>
      <c r="K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</row>
    <row r="420" spans="3:48" x14ac:dyDescent="0.2">
      <c r="C420" s="51"/>
      <c r="K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</row>
    <row r="421" spans="3:48" x14ac:dyDescent="0.2">
      <c r="C421" s="51"/>
      <c r="K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</row>
    <row r="422" spans="3:48" x14ac:dyDescent="0.2">
      <c r="C422" s="51"/>
      <c r="K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</row>
    <row r="423" spans="3:48" x14ac:dyDescent="0.2">
      <c r="C423" s="51"/>
      <c r="K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</row>
    <row r="424" spans="3:48" x14ac:dyDescent="0.2">
      <c r="C424" s="51"/>
      <c r="K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</row>
    <row r="425" spans="3:48" x14ac:dyDescent="0.2">
      <c r="C425" s="51"/>
      <c r="K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</row>
    <row r="426" spans="3:48" x14ac:dyDescent="0.2">
      <c r="C426" s="51"/>
      <c r="K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</row>
    <row r="427" spans="3:48" x14ac:dyDescent="0.2">
      <c r="C427" s="51"/>
      <c r="K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</row>
    <row r="428" spans="3:48" x14ac:dyDescent="0.2">
      <c r="C428" s="51"/>
      <c r="K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</row>
    <row r="429" spans="3:48" x14ac:dyDescent="0.2">
      <c r="C429" s="51"/>
      <c r="K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</row>
    <row r="430" spans="3:48" x14ac:dyDescent="0.2">
      <c r="C430" s="51"/>
      <c r="K430" s="89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3:48" x14ac:dyDescent="0.2">
      <c r="C431" s="51"/>
      <c r="K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</row>
    <row r="432" spans="3:48" x14ac:dyDescent="0.2">
      <c r="C432" s="51"/>
      <c r="K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</row>
    <row r="433" spans="3:48" x14ac:dyDescent="0.2">
      <c r="C433" s="51"/>
      <c r="K433" s="89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</row>
    <row r="434" spans="3:48" x14ac:dyDescent="0.2">
      <c r="C434" s="51"/>
      <c r="K434" s="89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</row>
    <row r="435" spans="3:48" x14ac:dyDescent="0.2">
      <c r="C435" s="51"/>
      <c r="K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</row>
    <row r="436" spans="3:48" x14ac:dyDescent="0.2">
      <c r="C436" s="51"/>
      <c r="K436" s="89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3:48" x14ac:dyDescent="0.2">
      <c r="C437" s="51"/>
      <c r="K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</row>
    <row r="438" spans="3:48" x14ac:dyDescent="0.2">
      <c r="C438" s="51"/>
      <c r="K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</row>
    <row r="439" spans="3:48" x14ac:dyDescent="0.2">
      <c r="C439" s="51"/>
      <c r="K439" s="89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</row>
    <row r="440" spans="3:48" x14ac:dyDescent="0.2">
      <c r="C440" s="51"/>
      <c r="K440" s="89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3:48" x14ac:dyDescent="0.2">
      <c r="C441" s="51"/>
      <c r="K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</row>
    <row r="442" spans="3:48" x14ac:dyDescent="0.2">
      <c r="C442" s="51"/>
      <c r="K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</row>
    <row r="443" spans="3:48" x14ac:dyDescent="0.2">
      <c r="C443" s="51"/>
      <c r="K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</row>
    <row r="444" spans="3:48" x14ac:dyDescent="0.2">
      <c r="C444" s="51"/>
      <c r="K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</row>
    <row r="445" spans="3:48" x14ac:dyDescent="0.2">
      <c r="C445" s="51"/>
      <c r="K445" s="89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3:48" x14ac:dyDescent="0.2">
      <c r="C446" s="51"/>
      <c r="K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</row>
    <row r="447" spans="3:48" x14ac:dyDescent="0.2">
      <c r="C447" s="51"/>
      <c r="K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</row>
    <row r="448" spans="3:48" x14ac:dyDescent="0.2">
      <c r="C448" s="51"/>
      <c r="K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</row>
    <row r="449" spans="3:48" x14ac:dyDescent="0.2">
      <c r="C449" s="51"/>
      <c r="K449" s="89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3:48" x14ac:dyDescent="0.2">
      <c r="C450" s="51"/>
      <c r="K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</row>
    <row r="451" spans="3:48" x14ac:dyDescent="0.2">
      <c r="C451" s="51"/>
      <c r="K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</row>
    <row r="452" spans="3:48" x14ac:dyDescent="0.2">
      <c r="C452" s="51"/>
      <c r="K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</row>
    <row r="453" spans="3:48" x14ac:dyDescent="0.2">
      <c r="C453" s="51"/>
      <c r="K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</row>
    <row r="454" spans="3:48" x14ac:dyDescent="0.2">
      <c r="C454" s="51"/>
      <c r="K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</row>
    <row r="455" spans="3:48" x14ac:dyDescent="0.2">
      <c r="C455" s="51"/>
      <c r="K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</row>
    <row r="456" spans="3:48" x14ac:dyDescent="0.2">
      <c r="C456" s="51"/>
      <c r="K456" s="89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</row>
    <row r="457" spans="3:48" x14ac:dyDescent="0.2">
      <c r="C457" s="51"/>
      <c r="K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</row>
    <row r="458" spans="3:48" x14ac:dyDescent="0.2">
      <c r="C458" s="51"/>
      <c r="K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</row>
    <row r="459" spans="3:48" x14ac:dyDescent="0.2">
      <c r="C459" s="51"/>
      <c r="K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</row>
    <row r="460" spans="3:48" x14ac:dyDescent="0.2">
      <c r="C460" s="51"/>
      <c r="K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</row>
    <row r="461" spans="3:48" x14ac:dyDescent="0.2">
      <c r="C461" s="51"/>
      <c r="K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</row>
    <row r="462" spans="3:48" x14ac:dyDescent="0.2">
      <c r="C462" s="51"/>
      <c r="K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</row>
    <row r="463" spans="3:48" x14ac:dyDescent="0.2">
      <c r="C463" s="51"/>
      <c r="K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</row>
    <row r="464" spans="3:48" x14ac:dyDescent="0.2">
      <c r="C464" s="51"/>
      <c r="K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</row>
    <row r="465" spans="3:48" x14ac:dyDescent="0.2">
      <c r="C465" s="51"/>
      <c r="K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</row>
    <row r="466" spans="3:48" x14ac:dyDescent="0.2">
      <c r="C466" s="51"/>
      <c r="K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</row>
    <row r="467" spans="3:48" x14ac:dyDescent="0.2">
      <c r="C467" s="51"/>
      <c r="K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</row>
    <row r="468" spans="3:48" x14ac:dyDescent="0.2">
      <c r="C468" s="51"/>
      <c r="K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</row>
    <row r="469" spans="3:48" x14ac:dyDescent="0.2">
      <c r="C469" s="51"/>
      <c r="K469" s="89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</row>
    <row r="470" spans="3:48" x14ac:dyDescent="0.2">
      <c r="C470" s="51"/>
      <c r="K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</row>
    <row r="471" spans="3:48" x14ac:dyDescent="0.2">
      <c r="C471" s="51"/>
      <c r="K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</row>
    <row r="472" spans="3:48" x14ac:dyDescent="0.2">
      <c r="C472" s="51"/>
      <c r="K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</row>
    <row r="473" spans="3:48" x14ac:dyDescent="0.2">
      <c r="C473" s="51"/>
      <c r="K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</row>
    <row r="474" spans="3:48" x14ac:dyDescent="0.2">
      <c r="C474" s="51"/>
      <c r="K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</row>
    <row r="475" spans="3:48" x14ac:dyDescent="0.2">
      <c r="C475" s="51"/>
      <c r="K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</row>
    <row r="476" spans="3:48" x14ac:dyDescent="0.2">
      <c r="C476" s="51"/>
      <c r="K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</row>
    <row r="477" spans="3:48" x14ac:dyDescent="0.2">
      <c r="C477" s="51"/>
      <c r="K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</row>
    <row r="478" spans="3:48" x14ac:dyDescent="0.2">
      <c r="C478" s="51"/>
      <c r="K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</row>
    <row r="479" spans="3:48" x14ac:dyDescent="0.2">
      <c r="C479" s="51"/>
      <c r="K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</row>
    <row r="480" spans="3:48" x14ac:dyDescent="0.2">
      <c r="C480" s="51"/>
      <c r="K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</row>
    <row r="481" spans="3:48" x14ac:dyDescent="0.2">
      <c r="C481" s="51"/>
      <c r="K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</row>
    <row r="482" spans="3:48" x14ac:dyDescent="0.2">
      <c r="C482" s="51"/>
      <c r="K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</row>
    <row r="483" spans="3:48" x14ac:dyDescent="0.2">
      <c r="C483" s="51"/>
      <c r="K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</row>
    <row r="484" spans="3:48" x14ac:dyDescent="0.2">
      <c r="C484" s="51"/>
      <c r="K484" s="89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</row>
    <row r="485" spans="3:48" x14ac:dyDescent="0.2">
      <c r="C485" s="51"/>
      <c r="K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</row>
    <row r="486" spans="3:48" x14ac:dyDescent="0.2">
      <c r="C486" s="51"/>
      <c r="K486" s="89"/>
    </row>
    <row r="487" spans="3:48" x14ac:dyDescent="0.2">
      <c r="C487" s="51"/>
      <c r="K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</row>
    <row r="488" spans="3:48" x14ac:dyDescent="0.2">
      <c r="C488" s="51"/>
      <c r="K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</row>
    <row r="489" spans="3:48" x14ac:dyDescent="0.2">
      <c r="C489" s="51"/>
      <c r="K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</row>
    <row r="490" spans="3:48" x14ac:dyDescent="0.2">
      <c r="C490" s="51"/>
      <c r="K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</row>
    <row r="491" spans="3:48" x14ac:dyDescent="0.2">
      <c r="C491" s="51"/>
      <c r="K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</row>
    <row r="492" spans="3:48" x14ac:dyDescent="0.2">
      <c r="C492" s="51"/>
      <c r="K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</row>
    <row r="493" spans="3:48" x14ac:dyDescent="0.2">
      <c r="C493" s="51"/>
      <c r="K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</row>
    <row r="494" spans="3:48" x14ac:dyDescent="0.2">
      <c r="C494" s="51"/>
      <c r="K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</row>
    <row r="495" spans="3:48" x14ac:dyDescent="0.2">
      <c r="C495" s="51"/>
      <c r="K495" s="89"/>
    </row>
    <row r="496" spans="3:48" x14ac:dyDescent="0.2">
      <c r="C496" s="51"/>
      <c r="K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</row>
    <row r="497" spans="3:48" x14ac:dyDescent="0.2">
      <c r="C497" s="51"/>
      <c r="K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</row>
    <row r="498" spans="3:48" x14ac:dyDescent="0.2">
      <c r="C498" s="51"/>
      <c r="K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</row>
    <row r="499" spans="3:48" x14ac:dyDescent="0.2">
      <c r="C499" s="51"/>
      <c r="K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</row>
    <row r="500" spans="3:48" x14ac:dyDescent="0.2">
      <c r="C500" s="51"/>
      <c r="K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</row>
    <row r="501" spans="3:48" x14ac:dyDescent="0.2">
      <c r="C501" s="51"/>
      <c r="K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</row>
    <row r="502" spans="3:48" x14ac:dyDescent="0.2">
      <c r="C502" s="51"/>
      <c r="K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</row>
    <row r="503" spans="3:48" x14ac:dyDescent="0.2">
      <c r="C503" s="51"/>
      <c r="K503" s="89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</row>
    <row r="504" spans="3:48" x14ac:dyDescent="0.2">
      <c r="C504" s="51"/>
      <c r="K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</row>
    <row r="505" spans="3:48" x14ac:dyDescent="0.2">
      <c r="C505" s="51"/>
      <c r="K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</row>
    <row r="506" spans="3:48" x14ac:dyDescent="0.2">
      <c r="C506" s="51"/>
      <c r="K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</row>
    <row r="507" spans="3:48" x14ac:dyDescent="0.2">
      <c r="C507" s="51"/>
      <c r="K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</row>
    <row r="508" spans="3:48" x14ac:dyDescent="0.2">
      <c r="C508" s="51"/>
      <c r="K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</row>
    <row r="509" spans="3:48" x14ac:dyDescent="0.2">
      <c r="C509" s="51"/>
      <c r="K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</row>
    <row r="510" spans="3:48" x14ac:dyDescent="0.2">
      <c r="C510" s="51"/>
      <c r="K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</row>
    <row r="511" spans="3:48" x14ac:dyDescent="0.2">
      <c r="C511" s="51"/>
      <c r="K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</row>
    <row r="512" spans="3:48" x14ac:dyDescent="0.2">
      <c r="C512" s="51"/>
      <c r="K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</row>
    <row r="513" spans="3:48" x14ac:dyDescent="0.2">
      <c r="C513" s="51"/>
      <c r="K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</row>
    <row r="514" spans="3:48" x14ac:dyDescent="0.2">
      <c r="C514" s="51"/>
      <c r="K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</row>
    <row r="515" spans="3:48" x14ac:dyDescent="0.2">
      <c r="C515" s="51"/>
      <c r="K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</row>
    <row r="516" spans="3:48" x14ac:dyDescent="0.2">
      <c r="C516" s="51"/>
      <c r="K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</row>
    <row r="517" spans="3:48" x14ac:dyDescent="0.2">
      <c r="C517" s="51"/>
      <c r="K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</row>
    <row r="518" spans="3:48" x14ac:dyDescent="0.2">
      <c r="C518" s="51"/>
      <c r="K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</row>
    <row r="519" spans="3:48" x14ac:dyDescent="0.2">
      <c r="C519" s="51"/>
      <c r="K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</row>
    <row r="520" spans="3:48" x14ac:dyDescent="0.2">
      <c r="C520" s="51"/>
      <c r="K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</row>
    <row r="521" spans="3:48" x14ac:dyDescent="0.2">
      <c r="C521" s="51"/>
      <c r="K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</row>
    <row r="522" spans="3:48" x14ac:dyDescent="0.2">
      <c r="C522" s="51"/>
      <c r="K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</row>
    <row r="523" spans="3:48" x14ac:dyDescent="0.2">
      <c r="C523" s="51"/>
      <c r="K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</row>
    <row r="524" spans="3:48" x14ac:dyDescent="0.2">
      <c r="C524" s="51"/>
      <c r="K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</row>
    <row r="525" spans="3:48" x14ac:dyDescent="0.2">
      <c r="C525" s="51"/>
      <c r="K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</row>
    <row r="526" spans="3:48" x14ac:dyDescent="0.2">
      <c r="C526" s="51"/>
      <c r="K526" s="89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</row>
    <row r="527" spans="3:48" x14ac:dyDescent="0.2">
      <c r="C527" s="51"/>
      <c r="K527" s="89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</row>
    <row r="528" spans="3:48" x14ac:dyDescent="0.2">
      <c r="C528" s="51"/>
      <c r="K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</row>
    <row r="529" spans="3:48" x14ac:dyDescent="0.2">
      <c r="C529" s="51"/>
      <c r="K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</row>
    <row r="530" spans="3:48" x14ac:dyDescent="0.2">
      <c r="C530" s="51"/>
      <c r="K530" s="89"/>
    </row>
    <row r="531" spans="3:48" x14ac:dyDescent="0.2">
      <c r="C531" s="51"/>
      <c r="K531" s="89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</row>
    <row r="532" spans="3:48" x14ac:dyDescent="0.2">
      <c r="C532" s="51"/>
      <c r="K532" s="89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</row>
    <row r="533" spans="3:48" x14ac:dyDescent="0.2">
      <c r="C533" s="51"/>
      <c r="K533" s="89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</row>
    <row r="534" spans="3:48" x14ac:dyDescent="0.2">
      <c r="C534" s="51"/>
      <c r="K534" s="89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</row>
    <row r="535" spans="3:48" x14ac:dyDescent="0.2">
      <c r="C535" s="51"/>
      <c r="K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</row>
    <row r="536" spans="3:48" x14ac:dyDescent="0.2">
      <c r="C536" s="51"/>
      <c r="K536" s="89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</row>
    <row r="537" spans="3:48" x14ac:dyDescent="0.2">
      <c r="C537" s="51"/>
      <c r="K537" s="89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</row>
    <row r="538" spans="3:48" x14ac:dyDescent="0.2">
      <c r="C538" s="51"/>
      <c r="K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</row>
    <row r="539" spans="3:48" x14ac:dyDescent="0.2">
      <c r="C539" s="51"/>
      <c r="K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</row>
    <row r="540" spans="3:48" x14ac:dyDescent="0.2">
      <c r="C540" s="51"/>
      <c r="K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</row>
    <row r="541" spans="3:48" x14ac:dyDescent="0.2">
      <c r="C541" s="51"/>
      <c r="K541" s="89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</row>
    <row r="542" spans="3:48" x14ac:dyDescent="0.2">
      <c r="C542" s="51"/>
      <c r="K542" s="89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</row>
    <row r="543" spans="3:48" x14ac:dyDescent="0.2">
      <c r="C543" s="51"/>
      <c r="K543" s="89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</row>
    <row r="544" spans="3:48" x14ac:dyDescent="0.2">
      <c r="C544" s="51"/>
      <c r="K544" s="89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</row>
    <row r="545" spans="3:48" x14ac:dyDescent="0.2">
      <c r="C545" s="51"/>
      <c r="K545" s="89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</row>
    <row r="546" spans="3:48" x14ac:dyDescent="0.2">
      <c r="C546" s="51"/>
      <c r="K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</row>
    <row r="547" spans="3:48" x14ac:dyDescent="0.2">
      <c r="C547" s="51"/>
      <c r="K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</row>
    <row r="548" spans="3:48" x14ac:dyDescent="0.2">
      <c r="C548" s="51"/>
      <c r="K548" s="89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</row>
    <row r="549" spans="3:48" x14ac:dyDescent="0.2">
      <c r="C549" s="51"/>
      <c r="K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</row>
    <row r="550" spans="3:48" x14ac:dyDescent="0.2">
      <c r="C550" s="51"/>
      <c r="K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</row>
    <row r="551" spans="3:48" x14ac:dyDescent="0.2">
      <c r="C551" s="51"/>
      <c r="K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</row>
    <row r="552" spans="3:48" x14ac:dyDescent="0.2">
      <c r="C552" s="51"/>
      <c r="K552" s="89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</row>
    <row r="553" spans="3:48" x14ac:dyDescent="0.2">
      <c r="C553" s="51"/>
      <c r="K553" s="89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</row>
    <row r="554" spans="3:48" x14ac:dyDescent="0.2">
      <c r="C554" s="51"/>
      <c r="K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</row>
    <row r="555" spans="3:48" x14ac:dyDescent="0.2">
      <c r="C555" s="51"/>
      <c r="K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</row>
    <row r="556" spans="3:48" x14ac:dyDescent="0.2">
      <c r="C556" s="51"/>
      <c r="K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</row>
    <row r="557" spans="3:48" x14ac:dyDescent="0.2">
      <c r="C557" s="51"/>
      <c r="K557" s="89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</row>
    <row r="558" spans="3:48" x14ac:dyDescent="0.2">
      <c r="C558" s="51"/>
      <c r="K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</row>
    <row r="559" spans="3:48" x14ac:dyDescent="0.2">
      <c r="C559" s="51"/>
      <c r="K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</row>
    <row r="560" spans="3:48" x14ac:dyDescent="0.2">
      <c r="C560" s="51"/>
      <c r="K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</row>
    <row r="561" spans="3:48" x14ac:dyDescent="0.2">
      <c r="C561" s="51"/>
      <c r="K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</row>
    <row r="562" spans="3:48" x14ac:dyDescent="0.2">
      <c r="C562" s="51"/>
      <c r="K562" s="89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</row>
    <row r="563" spans="3:48" x14ac:dyDescent="0.2">
      <c r="C563" s="51"/>
      <c r="K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</row>
    <row r="564" spans="3:48" x14ac:dyDescent="0.2">
      <c r="C564" s="51"/>
      <c r="K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</row>
    <row r="565" spans="3:48" x14ac:dyDescent="0.2">
      <c r="C565" s="51"/>
      <c r="K565" s="89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</row>
    <row r="566" spans="3:48" x14ac:dyDescent="0.2">
      <c r="C566" s="51"/>
      <c r="K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</row>
    <row r="567" spans="3:48" x14ac:dyDescent="0.2">
      <c r="C567" s="51"/>
      <c r="K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</row>
    <row r="568" spans="3:48" x14ac:dyDescent="0.2">
      <c r="C568" s="51"/>
      <c r="K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</row>
    <row r="569" spans="3:48" x14ac:dyDescent="0.2">
      <c r="C569" s="51"/>
      <c r="K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</row>
    <row r="570" spans="3:48" x14ac:dyDescent="0.2">
      <c r="C570" s="51"/>
      <c r="K570" s="89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</row>
    <row r="571" spans="3:48" x14ac:dyDescent="0.2">
      <c r="C571" s="51"/>
      <c r="K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</row>
    <row r="572" spans="3:48" x14ac:dyDescent="0.2">
      <c r="C572" s="51"/>
      <c r="K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</row>
    <row r="573" spans="3:48" x14ac:dyDescent="0.2">
      <c r="C573" s="51"/>
      <c r="K573" s="89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</row>
    <row r="574" spans="3:48" x14ac:dyDescent="0.2">
      <c r="C574" s="51"/>
      <c r="K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</row>
    <row r="575" spans="3:48" x14ac:dyDescent="0.2">
      <c r="C575" s="51"/>
      <c r="K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</row>
    <row r="576" spans="3:48" x14ac:dyDescent="0.2">
      <c r="C576" s="51"/>
      <c r="K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</row>
    <row r="577" spans="3:48" x14ac:dyDescent="0.2">
      <c r="C577" s="51"/>
      <c r="K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</row>
    <row r="578" spans="3:48" x14ac:dyDescent="0.2">
      <c r="C578" s="51"/>
      <c r="K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</row>
    <row r="579" spans="3:48" x14ac:dyDescent="0.2">
      <c r="C579" s="51"/>
      <c r="K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</row>
    <row r="580" spans="3:48" x14ac:dyDescent="0.2">
      <c r="C580" s="51"/>
      <c r="K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</row>
    <row r="581" spans="3:48" x14ac:dyDescent="0.2">
      <c r="C581" s="51"/>
      <c r="K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</row>
    <row r="582" spans="3:48" x14ac:dyDescent="0.2">
      <c r="C582" s="51"/>
      <c r="K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</row>
    <row r="583" spans="3:48" x14ac:dyDescent="0.2">
      <c r="C583" s="51"/>
      <c r="K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</row>
    <row r="584" spans="3:48" x14ac:dyDescent="0.2">
      <c r="C584" s="51"/>
      <c r="K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</row>
    <row r="585" spans="3:48" x14ac:dyDescent="0.2">
      <c r="C585" s="51"/>
      <c r="K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</row>
    <row r="586" spans="3:48" x14ac:dyDescent="0.2">
      <c r="C586" s="51"/>
      <c r="K586" s="89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</row>
    <row r="587" spans="3:48" x14ac:dyDescent="0.2">
      <c r="C587" s="51"/>
      <c r="K587" s="89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</row>
    <row r="588" spans="3:48" x14ac:dyDescent="0.2">
      <c r="C588" s="51"/>
      <c r="K588" s="89"/>
    </row>
    <row r="589" spans="3:48" x14ac:dyDescent="0.2">
      <c r="C589" s="51"/>
      <c r="K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</row>
    <row r="590" spans="3:48" x14ac:dyDescent="0.2">
      <c r="C590" s="51"/>
      <c r="K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</row>
    <row r="591" spans="3:48" x14ac:dyDescent="0.2">
      <c r="C591" s="51"/>
      <c r="K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</row>
    <row r="592" spans="3:48" x14ac:dyDescent="0.2">
      <c r="C592" s="51"/>
      <c r="K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</row>
    <row r="593" spans="3:48" x14ac:dyDescent="0.2">
      <c r="C593" s="51"/>
      <c r="K593" s="89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</row>
    <row r="594" spans="3:48" x14ac:dyDescent="0.2">
      <c r="C594" s="51"/>
      <c r="K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</row>
    <row r="595" spans="3:48" x14ac:dyDescent="0.2">
      <c r="C595" s="51"/>
      <c r="K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</row>
    <row r="596" spans="3:48" x14ac:dyDescent="0.2">
      <c r="C596" s="51"/>
      <c r="K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</row>
    <row r="597" spans="3:48" x14ac:dyDescent="0.2">
      <c r="C597" s="51"/>
      <c r="K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</row>
    <row r="598" spans="3:48" x14ac:dyDescent="0.2">
      <c r="C598" s="51"/>
      <c r="K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</row>
    <row r="599" spans="3:48" x14ac:dyDescent="0.2">
      <c r="C599" s="51"/>
      <c r="K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</row>
    <row r="600" spans="3:48" x14ac:dyDescent="0.2">
      <c r="C600" s="51"/>
      <c r="K600" s="89"/>
    </row>
    <row r="601" spans="3:48" x14ac:dyDescent="0.2">
      <c r="C601" s="51"/>
      <c r="K601" s="89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</row>
    <row r="602" spans="3:48" x14ac:dyDescent="0.2">
      <c r="C602" s="51"/>
      <c r="K602" s="89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</row>
    <row r="603" spans="3:48" x14ac:dyDescent="0.2">
      <c r="C603" s="51"/>
      <c r="K603" s="89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</row>
    <row r="604" spans="3:48" x14ac:dyDescent="0.2">
      <c r="C604" s="51"/>
      <c r="K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</row>
    <row r="605" spans="3:48" x14ac:dyDescent="0.2">
      <c r="C605" s="51"/>
      <c r="K605" s="89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</row>
    <row r="606" spans="3:48" x14ac:dyDescent="0.2">
      <c r="C606" s="51"/>
      <c r="K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</row>
    <row r="607" spans="3:48" x14ac:dyDescent="0.2">
      <c r="C607" s="51"/>
      <c r="K607" s="89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</row>
    <row r="608" spans="3:48" x14ac:dyDescent="0.2">
      <c r="C608" s="51"/>
      <c r="K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</row>
    <row r="609" spans="3:48" x14ac:dyDescent="0.2">
      <c r="C609" s="51"/>
      <c r="K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</row>
    <row r="610" spans="3:48" x14ac:dyDescent="0.2">
      <c r="C610" s="51"/>
      <c r="K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</row>
    <row r="611" spans="3:48" x14ac:dyDescent="0.2">
      <c r="C611" s="51"/>
      <c r="K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</row>
    <row r="612" spans="3:48" x14ac:dyDescent="0.2">
      <c r="C612" s="51"/>
      <c r="K612" s="89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</row>
    <row r="613" spans="3:48" x14ac:dyDescent="0.2">
      <c r="C613" s="51"/>
      <c r="K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</row>
    <row r="614" spans="3:48" x14ac:dyDescent="0.2">
      <c r="C614" s="51"/>
      <c r="K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</row>
    <row r="615" spans="3:48" x14ac:dyDescent="0.2">
      <c r="C615" s="51"/>
      <c r="K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</row>
    <row r="616" spans="3:48" x14ac:dyDescent="0.2">
      <c r="C616" s="51"/>
      <c r="K616" s="89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</row>
    <row r="617" spans="3:48" x14ac:dyDescent="0.2">
      <c r="C617" s="51"/>
      <c r="K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</row>
    <row r="618" spans="3:48" x14ac:dyDescent="0.2">
      <c r="C618" s="51"/>
      <c r="K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</row>
    <row r="619" spans="3:48" x14ac:dyDescent="0.2">
      <c r="C619" s="51"/>
      <c r="K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</row>
    <row r="620" spans="3:48" x14ac:dyDescent="0.2">
      <c r="C620" s="51"/>
      <c r="K620" s="89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</row>
    <row r="621" spans="3:48" x14ac:dyDescent="0.2">
      <c r="C621" s="51"/>
      <c r="K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</row>
    <row r="622" spans="3:48" x14ac:dyDescent="0.2">
      <c r="C622" s="51"/>
      <c r="K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</row>
    <row r="623" spans="3:48" x14ac:dyDescent="0.2">
      <c r="C623" s="51"/>
      <c r="K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</row>
    <row r="624" spans="3:48" x14ac:dyDescent="0.2">
      <c r="C624" s="51"/>
      <c r="K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</row>
    <row r="625" spans="3:48" x14ac:dyDescent="0.2">
      <c r="C625" s="51"/>
      <c r="K625" s="89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B625" s="86"/>
      <c r="AC625" s="86"/>
      <c r="AD625" s="86"/>
      <c r="AE625" s="86"/>
      <c r="AF625" s="86"/>
      <c r="AG625" s="86"/>
      <c r="AH625" s="86"/>
      <c r="AI625" s="86"/>
      <c r="AJ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</row>
    <row r="626" spans="3:48" x14ac:dyDescent="0.2">
      <c r="C626" s="51"/>
      <c r="K626" s="89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</row>
    <row r="627" spans="3:48" x14ac:dyDescent="0.2">
      <c r="C627" s="51"/>
      <c r="K627" s="89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</row>
    <row r="628" spans="3:48" x14ac:dyDescent="0.2">
      <c r="C628" s="51"/>
      <c r="K628" s="89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</row>
    <row r="629" spans="3:48" x14ac:dyDescent="0.2">
      <c r="C629" s="51"/>
      <c r="K629" s="89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</row>
    <row r="630" spans="3:48" x14ac:dyDescent="0.2">
      <c r="C630" s="51"/>
      <c r="K630" s="89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</row>
    <row r="631" spans="3:48" x14ac:dyDescent="0.2">
      <c r="C631" s="51"/>
      <c r="K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</row>
    <row r="632" spans="3:48" x14ac:dyDescent="0.2">
      <c r="C632" s="51"/>
      <c r="K632" s="89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</row>
    <row r="633" spans="3:48" x14ac:dyDescent="0.2">
      <c r="C633" s="51"/>
      <c r="K633" s="89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</row>
    <row r="634" spans="3:48" x14ac:dyDescent="0.2">
      <c r="C634" s="51"/>
      <c r="K634" s="89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</row>
    <row r="635" spans="3:48" x14ac:dyDescent="0.2">
      <c r="C635" s="51"/>
      <c r="K635" s="89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</row>
    <row r="636" spans="3:48" x14ac:dyDescent="0.2">
      <c r="C636" s="51"/>
      <c r="K636" s="89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</row>
    <row r="637" spans="3:48" x14ac:dyDescent="0.2">
      <c r="C637" s="51"/>
      <c r="K637" s="89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</row>
    <row r="638" spans="3:48" x14ac:dyDescent="0.2">
      <c r="C638" s="51"/>
      <c r="K638" s="89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</row>
    <row r="639" spans="3:48" x14ac:dyDescent="0.2">
      <c r="C639" s="51"/>
      <c r="K639" s="89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</row>
    <row r="640" spans="3:48" x14ac:dyDescent="0.2">
      <c r="C640" s="51"/>
      <c r="K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</row>
    <row r="641" spans="3:48" x14ac:dyDescent="0.2">
      <c r="C641" s="51"/>
      <c r="K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</row>
    <row r="642" spans="3:48" x14ac:dyDescent="0.2">
      <c r="C642" s="51"/>
      <c r="K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</row>
    <row r="643" spans="3:48" x14ac:dyDescent="0.2">
      <c r="C643" s="51"/>
      <c r="K643" s="89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B643" s="86"/>
      <c r="AC643" s="86"/>
      <c r="AD643" s="86"/>
      <c r="AE643" s="86"/>
      <c r="AF643" s="86"/>
      <c r="AG643" s="86"/>
      <c r="AH643" s="86"/>
      <c r="AI643" s="86"/>
      <c r="AJ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</row>
    <row r="644" spans="3:48" x14ac:dyDescent="0.2">
      <c r="C644" s="51"/>
      <c r="K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</row>
    <row r="645" spans="3:48" x14ac:dyDescent="0.2">
      <c r="C645" s="51"/>
      <c r="K645" s="89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</row>
    <row r="646" spans="3:48" x14ac:dyDescent="0.2">
      <c r="C646" s="51"/>
      <c r="K646" s="89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</row>
    <row r="647" spans="3:48" x14ac:dyDescent="0.2">
      <c r="C647" s="51"/>
      <c r="K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</row>
    <row r="648" spans="3:48" x14ac:dyDescent="0.2">
      <c r="C648" s="51"/>
      <c r="K648" s="89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</row>
    <row r="649" spans="3:48" x14ac:dyDescent="0.2">
      <c r="C649" s="51"/>
      <c r="K649" s="89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</row>
    <row r="650" spans="3:48" x14ac:dyDescent="0.2">
      <c r="C650" s="51"/>
      <c r="K650" s="89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</row>
    <row r="651" spans="3:48" x14ac:dyDescent="0.2">
      <c r="C651" s="51"/>
      <c r="K651" s="89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</row>
    <row r="652" spans="3:48" x14ac:dyDescent="0.2">
      <c r="C652" s="51"/>
      <c r="K652" s="89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</row>
    <row r="653" spans="3:48" x14ac:dyDescent="0.2">
      <c r="C653" s="51"/>
      <c r="K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</row>
    <row r="654" spans="3:48" x14ac:dyDescent="0.2">
      <c r="C654" s="51"/>
      <c r="K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</row>
    <row r="655" spans="3:48" x14ac:dyDescent="0.2">
      <c r="C655" s="51"/>
      <c r="K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</row>
    <row r="656" spans="3:48" x14ac:dyDescent="0.2">
      <c r="C656" s="51"/>
      <c r="K656" s="89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</row>
    <row r="657" spans="3:48" x14ac:dyDescent="0.2">
      <c r="C657" s="51"/>
      <c r="K657" s="89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</row>
    <row r="658" spans="3:48" x14ac:dyDescent="0.2">
      <c r="C658" s="51"/>
      <c r="K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</row>
    <row r="659" spans="3:48" x14ac:dyDescent="0.2">
      <c r="C659" s="51"/>
      <c r="K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</row>
    <row r="660" spans="3:48" x14ac:dyDescent="0.2">
      <c r="C660" s="51"/>
      <c r="K660" s="89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</row>
    <row r="661" spans="3:48" x14ac:dyDescent="0.2">
      <c r="C661" s="51"/>
      <c r="K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</row>
    <row r="662" spans="3:48" x14ac:dyDescent="0.2">
      <c r="C662" s="51"/>
      <c r="K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</row>
    <row r="663" spans="3:48" x14ac:dyDescent="0.2">
      <c r="C663" s="51"/>
      <c r="K663" s="89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</row>
    <row r="664" spans="3:48" x14ac:dyDescent="0.2">
      <c r="C664" s="51"/>
      <c r="K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</row>
    <row r="665" spans="3:48" x14ac:dyDescent="0.2">
      <c r="C665" s="51"/>
      <c r="K665" s="89"/>
    </row>
    <row r="666" spans="3:48" x14ac:dyDescent="0.2">
      <c r="C666" s="51"/>
      <c r="K666" s="89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</row>
    <row r="667" spans="3:48" x14ac:dyDescent="0.2">
      <c r="C667" s="51"/>
      <c r="K667" s="89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</row>
    <row r="668" spans="3:48" x14ac:dyDescent="0.2">
      <c r="C668" s="51"/>
      <c r="K668" s="89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</row>
    <row r="669" spans="3:48" x14ac:dyDescent="0.2">
      <c r="C669" s="51"/>
      <c r="K669" s="89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</row>
    <row r="670" spans="3:48" x14ac:dyDescent="0.2">
      <c r="C670" s="51"/>
      <c r="K670" s="89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</row>
    <row r="671" spans="3:48" x14ac:dyDescent="0.2">
      <c r="C671" s="51"/>
      <c r="K671" s="89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</row>
    <row r="672" spans="3:48" x14ac:dyDescent="0.2">
      <c r="C672" s="51"/>
      <c r="K672" s="89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</row>
    <row r="673" spans="3:48" x14ac:dyDescent="0.2">
      <c r="C673" s="51"/>
      <c r="K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</row>
    <row r="674" spans="3:48" x14ac:dyDescent="0.2">
      <c r="C674" s="51"/>
      <c r="K674" s="89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</row>
    <row r="675" spans="3:48" x14ac:dyDescent="0.2">
      <c r="C675" s="51"/>
      <c r="K675" s="89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</row>
    <row r="676" spans="3:48" x14ac:dyDescent="0.2">
      <c r="C676" s="51"/>
      <c r="K676" s="89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</row>
    <row r="677" spans="3:48" x14ac:dyDescent="0.2">
      <c r="C677" s="51"/>
      <c r="K677" s="89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</row>
    <row r="678" spans="3:48" x14ac:dyDescent="0.2">
      <c r="C678" s="51"/>
      <c r="K678" s="89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</row>
    <row r="679" spans="3:48" x14ac:dyDescent="0.2">
      <c r="C679" s="51"/>
      <c r="K679" s="89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</row>
    <row r="680" spans="3:48" x14ac:dyDescent="0.2">
      <c r="C680" s="51"/>
      <c r="K680" s="89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</row>
    <row r="681" spans="3:48" x14ac:dyDescent="0.2">
      <c r="C681" s="51"/>
      <c r="K681" s="89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</row>
    <row r="682" spans="3:48" x14ac:dyDescent="0.2">
      <c r="C682" s="51"/>
      <c r="K682" s="89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B682" s="86"/>
      <c r="AC682" s="86"/>
      <c r="AD682" s="86"/>
      <c r="AE682" s="86"/>
      <c r="AF682" s="86"/>
      <c r="AG682" s="86"/>
      <c r="AH682" s="86"/>
      <c r="AI682" s="86"/>
      <c r="AJ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</row>
    <row r="683" spans="3:48" x14ac:dyDescent="0.2">
      <c r="C683" s="51"/>
      <c r="K683" s="89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</row>
    <row r="684" spans="3:48" x14ac:dyDescent="0.2">
      <c r="C684" s="51"/>
      <c r="K684" s="89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</row>
    <row r="685" spans="3:48" x14ac:dyDescent="0.2">
      <c r="C685" s="51"/>
      <c r="K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</row>
    <row r="686" spans="3:48" x14ac:dyDescent="0.2">
      <c r="C686" s="51"/>
      <c r="K686" s="89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</row>
    <row r="687" spans="3:48" x14ac:dyDescent="0.2">
      <c r="C687" s="51"/>
      <c r="K687" s="89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</row>
    <row r="688" spans="3:48" x14ac:dyDescent="0.2">
      <c r="C688" s="51"/>
      <c r="K688" s="89"/>
    </row>
    <row r="689" spans="3:48" x14ac:dyDescent="0.2">
      <c r="C689" s="51"/>
      <c r="K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</row>
    <row r="690" spans="3:48" x14ac:dyDescent="0.2">
      <c r="C690" s="51"/>
      <c r="K690" s="89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</row>
    <row r="691" spans="3:48" x14ac:dyDescent="0.2">
      <c r="C691" s="51"/>
      <c r="K691" s="89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</row>
    <row r="692" spans="3:48" x14ac:dyDescent="0.2">
      <c r="C692" s="51"/>
      <c r="K692" s="89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</row>
    <row r="693" spans="3:48" x14ac:dyDescent="0.2">
      <c r="C693" s="51"/>
      <c r="K693" s="89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</row>
    <row r="694" spans="3:48" x14ac:dyDescent="0.2">
      <c r="C694" s="51"/>
      <c r="K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</row>
    <row r="695" spans="3:48" x14ac:dyDescent="0.2">
      <c r="C695" s="51"/>
      <c r="K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</row>
    <row r="696" spans="3:48" x14ac:dyDescent="0.2">
      <c r="C696" s="51"/>
      <c r="K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</row>
    <row r="697" spans="3:48" x14ac:dyDescent="0.2">
      <c r="C697" s="51"/>
      <c r="K697" s="89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</row>
    <row r="698" spans="3:48" x14ac:dyDescent="0.2">
      <c r="C698" s="51"/>
      <c r="K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</row>
    <row r="699" spans="3:48" x14ac:dyDescent="0.2">
      <c r="C699" s="51"/>
      <c r="K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</row>
    <row r="700" spans="3:48" x14ac:dyDescent="0.2">
      <c r="C700" s="51"/>
      <c r="K700" s="89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</row>
    <row r="701" spans="3:48" x14ac:dyDescent="0.2">
      <c r="C701" s="51"/>
      <c r="K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</row>
    <row r="702" spans="3:48" x14ac:dyDescent="0.2">
      <c r="C702" s="51"/>
      <c r="K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</row>
    <row r="703" spans="3:48" x14ac:dyDescent="0.2">
      <c r="C703" s="51"/>
      <c r="K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</row>
    <row r="704" spans="3:48" x14ac:dyDescent="0.2">
      <c r="C704" s="51"/>
      <c r="K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</row>
    <row r="705" spans="3:48" x14ac:dyDescent="0.2">
      <c r="C705" s="51"/>
      <c r="K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</row>
    <row r="706" spans="3:48" x14ac:dyDescent="0.2">
      <c r="C706" s="51"/>
      <c r="K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</row>
    <row r="707" spans="3:48" x14ac:dyDescent="0.2">
      <c r="C707" s="51"/>
      <c r="K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</row>
    <row r="708" spans="3:48" x14ac:dyDescent="0.2">
      <c r="C708" s="51"/>
      <c r="K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</row>
    <row r="709" spans="3:48" x14ac:dyDescent="0.2">
      <c r="C709" s="51"/>
      <c r="K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</row>
    <row r="710" spans="3:48" x14ac:dyDescent="0.2">
      <c r="C710" s="51"/>
      <c r="K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</row>
    <row r="711" spans="3:48" x14ac:dyDescent="0.2">
      <c r="C711" s="51"/>
      <c r="K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</row>
    <row r="712" spans="3:48" x14ac:dyDescent="0.2">
      <c r="C712" s="51"/>
      <c r="K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</row>
    <row r="713" spans="3:48" x14ac:dyDescent="0.2">
      <c r="C713" s="51"/>
      <c r="K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</row>
    <row r="714" spans="3:48" x14ac:dyDescent="0.2">
      <c r="C714" s="51"/>
      <c r="K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</row>
    <row r="715" spans="3:48" x14ac:dyDescent="0.2">
      <c r="C715" s="51"/>
      <c r="K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</row>
    <row r="716" spans="3:48" x14ac:dyDescent="0.2">
      <c r="C716" s="51"/>
      <c r="K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</row>
    <row r="717" spans="3:48" x14ac:dyDescent="0.2">
      <c r="C717" s="51"/>
      <c r="K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</row>
    <row r="718" spans="3:48" x14ac:dyDescent="0.2">
      <c r="C718" s="51"/>
      <c r="K718" s="89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B718" s="86"/>
      <c r="AC718" s="86"/>
      <c r="AD718" s="86"/>
      <c r="AE718" s="86"/>
      <c r="AF718" s="86"/>
      <c r="AG718" s="86"/>
      <c r="AH718" s="86"/>
      <c r="AI718" s="86"/>
      <c r="AJ718" s="86"/>
      <c r="AK718" s="86"/>
      <c r="AL718" s="86"/>
      <c r="AM718" s="86"/>
      <c r="AN718" s="86"/>
      <c r="AO718" s="86"/>
      <c r="AP718" s="86"/>
      <c r="AQ718" s="86"/>
      <c r="AR718" s="86"/>
      <c r="AS718" s="86"/>
      <c r="AT718" s="86"/>
      <c r="AU718" s="86"/>
      <c r="AV718" s="86"/>
    </row>
    <row r="719" spans="3:48" x14ac:dyDescent="0.2">
      <c r="C719" s="51"/>
      <c r="K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</row>
    <row r="720" spans="3:48" x14ac:dyDescent="0.2">
      <c r="C720" s="51"/>
      <c r="K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</row>
    <row r="721" spans="3:48" x14ac:dyDescent="0.2">
      <c r="C721" s="51"/>
      <c r="K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</row>
    <row r="722" spans="3:48" x14ac:dyDescent="0.2">
      <c r="C722" s="51"/>
      <c r="K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</row>
    <row r="723" spans="3:48" x14ac:dyDescent="0.2">
      <c r="C723" s="51"/>
      <c r="K723" s="89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</row>
    <row r="724" spans="3:48" x14ac:dyDescent="0.2">
      <c r="C724" s="51"/>
      <c r="K724" s="89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</row>
    <row r="725" spans="3:48" x14ac:dyDescent="0.2">
      <c r="C725" s="51"/>
      <c r="K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</row>
    <row r="726" spans="3:48" x14ac:dyDescent="0.2">
      <c r="C726" s="51"/>
      <c r="K726" s="89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</row>
    <row r="727" spans="3:48" x14ac:dyDescent="0.2">
      <c r="C727" s="51"/>
      <c r="K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</row>
    <row r="728" spans="3:48" x14ac:dyDescent="0.2">
      <c r="C728" s="51"/>
      <c r="K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</row>
    <row r="729" spans="3:48" x14ac:dyDescent="0.2">
      <c r="C729" s="51"/>
      <c r="K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</row>
    <row r="730" spans="3:48" x14ac:dyDescent="0.2">
      <c r="C730" s="51"/>
      <c r="K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</row>
    <row r="731" spans="3:48" x14ac:dyDescent="0.2">
      <c r="C731" s="51"/>
      <c r="K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</row>
    <row r="732" spans="3:48" x14ac:dyDescent="0.2">
      <c r="C732" s="51"/>
      <c r="K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</row>
    <row r="733" spans="3:48" x14ac:dyDescent="0.2">
      <c r="C733" s="51"/>
      <c r="K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</row>
    <row r="734" spans="3:48" x14ac:dyDescent="0.2">
      <c r="C734" s="51"/>
      <c r="K734" s="89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</row>
    <row r="735" spans="3:48" x14ac:dyDescent="0.2">
      <c r="C735" s="51"/>
      <c r="K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</row>
    <row r="736" spans="3:48" x14ac:dyDescent="0.2">
      <c r="C736" s="51"/>
      <c r="K736" s="89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</row>
    <row r="737" spans="3:48" x14ac:dyDescent="0.2">
      <c r="C737" s="51"/>
      <c r="K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</row>
    <row r="738" spans="3:48" x14ac:dyDescent="0.2">
      <c r="C738" s="51"/>
      <c r="K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</row>
    <row r="739" spans="3:48" x14ac:dyDescent="0.2">
      <c r="C739" s="51"/>
      <c r="K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</row>
    <row r="740" spans="3:48" x14ac:dyDescent="0.2">
      <c r="C740" s="51"/>
      <c r="K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</row>
    <row r="741" spans="3:48" x14ac:dyDescent="0.2">
      <c r="C741" s="51"/>
      <c r="K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</row>
    <row r="742" spans="3:48" x14ac:dyDescent="0.2">
      <c r="C742" s="51"/>
      <c r="K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</row>
    <row r="743" spans="3:48" x14ac:dyDescent="0.2">
      <c r="C743" s="51"/>
      <c r="K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</row>
    <row r="744" spans="3:48" x14ac:dyDescent="0.2">
      <c r="C744" s="51"/>
      <c r="K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</row>
    <row r="745" spans="3:48" x14ac:dyDescent="0.2">
      <c r="C745" s="51"/>
      <c r="K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</row>
    <row r="746" spans="3:48" x14ac:dyDescent="0.2">
      <c r="C746" s="51"/>
      <c r="K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</row>
    <row r="747" spans="3:48" x14ac:dyDescent="0.2">
      <c r="C747" s="51"/>
      <c r="K747" s="89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</row>
    <row r="748" spans="3:48" x14ac:dyDescent="0.2">
      <c r="C748" s="51"/>
      <c r="K748" s="89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</row>
    <row r="749" spans="3:48" x14ac:dyDescent="0.2">
      <c r="C749" s="51"/>
      <c r="K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</row>
    <row r="750" spans="3:48" x14ac:dyDescent="0.2">
      <c r="C750" s="51"/>
      <c r="K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</row>
    <row r="751" spans="3:48" x14ac:dyDescent="0.2">
      <c r="C751" s="51"/>
      <c r="K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</row>
    <row r="752" spans="3:48" x14ac:dyDescent="0.2">
      <c r="C752" s="51"/>
      <c r="K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</row>
    <row r="753" spans="3:48" x14ac:dyDescent="0.2">
      <c r="C753" s="51"/>
      <c r="K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</row>
    <row r="754" spans="3:48" x14ac:dyDescent="0.2">
      <c r="C754" s="51"/>
      <c r="K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</row>
    <row r="755" spans="3:48" x14ac:dyDescent="0.2">
      <c r="C755" s="51"/>
      <c r="K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</row>
    <row r="756" spans="3:48" x14ac:dyDescent="0.2">
      <c r="C756" s="51"/>
      <c r="K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</row>
    <row r="757" spans="3:48" x14ac:dyDescent="0.2">
      <c r="C757" s="51"/>
      <c r="K757" s="89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</row>
    <row r="758" spans="3:48" x14ac:dyDescent="0.2">
      <c r="C758" s="51"/>
      <c r="K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</row>
    <row r="759" spans="3:48" x14ac:dyDescent="0.2">
      <c r="C759" s="51"/>
      <c r="K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</row>
    <row r="760" spans="3:48" x14ac:dyDescent="0.2">
      <c r="C760" s="51"/>
      <c r="K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</row>
    <row r="761" spans="3:48" x14ac:dyDescent="0.2">
      <c r="C761" s="51"/>
      <c r="K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</row>
    <row r="762" spans="3:48" x14ac:dyDescent="0.2">
      <c r="C762" s="51"/>
      <c r="K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</row>
    <row r="763" spans="3:48" x14ac:dyDescent="0.2">
      <c r="C763" s="51"/>
      <c r="K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</row>
    <row r="764" spans="3:48" x14ac:dyDescent="0.2">
      <c r="C764" s="51"/>
      <c r="K764" s="89"/>
    </row>
    <row r="765" spans="3:48" x14ac:dyDescent="0.2">
      <c r="C765" s="51"/>
      <c r="K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</row>
    <row r="766" spans="3:48" x14ac:dyDescent="0.2">
      <c r="C766" s="51"/>
      <c r="K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</row>
    <row r="767" spans="3:48" x14ac:dyDescent="0.2">
      <c r="C767" s="51"/>
      <c r="K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</row>
    <row r="768" spans="3:48" x14ac:dyDescent="0.2">
      <c r="C768" s="51"/>
      <c r="K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</row>
    <row r="769" spans="3:48" x14ac:dyDescent="0.2">
      <c r="C769" s="51"/>
      <c r="K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</row>
    <row r="770" spans="3:48" x14ac:dyDescent="0.2">
      <c r="C770" s="51"/>
      <c r="K770" s="89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</row>
    <row r="771" spans="3:48" x14ac:dyDescent="0.2">
      <c r="C771" s="51"/>
      <c r="K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</row>
    <row r="772" spans="3:48" x14ac:dyDescent="0.2">
      <c r="C772" s="51"/>
      <c r="K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</row>
    <row r="773" spans="3:48" x14ac:dyDescent="0.2">
      <c r="C773" s="51"/>
      <c r="K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</row>
    <row r="774" spans="3:48" x14ac:dyDescent="0.2">
      <c r="C774" s="51"/>
      <c r="K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</row>
    <row r="775" spans="3:48" x14ac:dyDescent="0.2">
      <c r="C775" s="51"/>
      <c r="K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</row>
    <row r="776" spans="3:48" x14ac:dyDescent="0.2">
      <c r="C776" s="51"/>
      <c r="K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</row>
    <row r="777" spans="3:48" x14ac:dyDescent="0.2">
      <c r="C777" s="51"/>
      <c r="K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</row>
    <row r="778" spans="3:48" x14ac:dyDescent="0.2">
      <c r="C778" s="51"/>
      <c r="K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</row>
    <row r="779" spans="3:48" x14ac:dyDescent="0.2">
      <c r="C779" s="51"/>
      <c r="K779" s="89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</row>
    <row r="780" spans="3:48" x14ac:dyDescent="0.2">
      <c r="C780" s="51"/>
      <c r="K780" s="89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</row>
    <row r="781" spans="3:48" x14ac:dyDescent="0.2">
      <c r="C781" s="51"/>
      <c r="K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</row>
    <row r="782" spans="3:48" x14ac:dyDescent="0.2">
      <c r="C782" s="51"/>
      <c r="K782" s="89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</row>
    <row r="783" spans="3:48" x14ac:dyDescent="0.2">
      <c r="C783" s="51"/>
      <c r="K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</row>
    <row r="784" spans="3:48" x14ac:dyDescent="0.2">
      <c r="C784" s="51"/>
      <c r="K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</row>
    <row r="785" spans="3:48" x14ac:dyDescent="0.2">
      <c r="C785" s="51"/>
      <c r="K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</row>
    <row r="786" spans="3:48" x14ac:dyDescent="0.2">
      <c r="C786" s="51"/>
      <c r="K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</row>
    <row r="787" spans="3:48" x14ac:dyDescent="0.2">
      <c r="C787" s="51"/>
      <c r="K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</row>
    <row r="788" spans="3:48" x14ac:dyDescent="0.2">
      <c r="C788" s="51"/>
      <c r="K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</row>
    <row r="789" spans="3:48" x14ac:dyDescent="0.2">
      <c r="C789" s="51"/>
      <c r="K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</row>
    <row r="790" spans="3:48" x14ac:dyDescent="0.2">
      <c r="C790" s="51"/>
      <c r="K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</row>
    <row r="791" spans="3:48" x14ac:dyDescent="0.2">
      <c r="C791" s="51"/>
      <c r="K791" s="89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</row>
    <row r="792" spans="3:48" x14ac:dyDescent="0.2">
      <c r="C792" s="51"/>
      <c r="K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</row>
    <row r="793" spans="3:48" x14ac:dyDescent="0.2">
      <c r="C793" s="51"/>
      <c r="K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</row>
    <row r="794" spans="3:48" x14ac:dyDescent="0.2">
      <c r="C794" s="51"/>
      <c r="K794" s="89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</row>
    <row r="795" spans="3:48" x14ac:dyDescent="0.2">
      <c r="C795" s="51"/>
      <c r="K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</row>
    <row r="796" spans="3:48" x14ac:dyDescent="0.2">
      <c r="C796" s="51"/>
      <c r="K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</row>
    <row r="797" spans="3:48" x14ac:dyDescent="0.2">
      <c r="C797" s="51"/>
      <c r="K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</row>
    <row r="798" spans="3:48" x14ac:dyDescent="0.2">
      <c r="C798" s="51"/>
      <c r="K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</row>
    <row r="799" spans="3:48" x14ac:dyDescent="0.2">
      <c r="C799" s="51"/>
      <c r="K799" s="89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</row>
    <row r="800" spans="3:48" x14ac:dyDescent="0.2">
      <c r="C800" s="51"/>
      <c r="K800" s="89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B800" s="86"/>
      <c r="AC800" s="86"/>
      <c r="AD800" s="86"/>
      <c r="AE800" s="86"/>
      <c r="AF800" s="86"/>
      <c r="AG800" s="86"/>
      <c r="AH800" s="86"/>
      <c r="AI800" s="86"/>
      <c r="AJ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</row>
    <row r="801" spans="3:48" x14ac:dyDescent="0.2">
      <c r="C801" s="51"/>
      <c r="K801" s="89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B801" s="86"/>
      <c r="AC801" s="86"/>
      <c r="AD801" s="86"/>
      <c r="AE801" s="86"/>
      <c r="AF801" s="86"/>
      <c r="AG801" s="86"/>
      <c r="AH801" s="86"/>
      <c r="AI801" s="86"/>
      <c r="AJ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</row>
    <row r="802" spans="3:48" x14ac:dyDescent="0.2">
      <c r="C802" s="51"/>
      <c r="K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</row>
    <row r="803" spans="3:48" x14ac:dyDescent="0.2">
      <c r="C803" s="51"/>
      <c r="K803" s="89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</row>
    <row r="804" spans="3:48" x14ac:dyDescent="0.2">
      <c r="C804" s="51"/>
      <c r="K804" s="89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</row>
    <row r="805" spans="3:48" x14ac:dyDescent="0.2">
      <c r="C805" s="51"/>
      <c r="K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</row>
    <row r="806" spans="3:48" x14ac:dyDescent="0.2">
      <c r="C806" s="51"/>
      <c r="K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</row>
    <row r="807" spans="3:48" x14ac:dyDescent="0.2">
      <c r="C807" s="51"/>
      <c r="K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</row>
    <row r="808" spans="3:48" x14ac:dyDescent="0.2">
      <c r="C808" s="51"/>
      <c r="K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</row>
    <row r="809" spans="3:48" x14ac:dyDescent="0.2">
      <c r="C809" s="51"/>
      <c r="K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</row>
    <row r="810" spans="3:48" x14ac:dyDescent="0.2">
      <c r="C810" s="51"/>
      <c r="K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</row>
    <row r="811" spans="3:48" x14ac:dyDescent="0.2">
      <c r="C811" s="51"/>
      <c r="K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</row>
    <row r="812" spans="3:48" x14ac:dyDescent="0.2">
      <c r="C812" s="51"/>
      <c r="K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</row>
    <row r="813" spans="3:48" x14ac:dyDescent="0.2">
      <c r="C813" s="51"/>
      <c r="K813" s="89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B813" s="86"/>
      <c r="AC813" s="86"/>
      <c r="AD813" s="86"/>
      <c r="AE813" s="86"/>
      <c r="AF813" s="86"/>
      <c r="AG813" s="86"/>
      <c r="AH813" s="86"/>
      <c r="AI813" s="86"/>
      <c r="AJ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</row>
    <row r="814" spans="3:48" x14ac:dyDescent="0.2">
      <c r="C814" s="51"/>
      <c r="K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</row>
    <row r="815" spans="3:48" x14ac:dyDescent="0.2">
      <c r="C815" s="51"/>
      <c r="K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</row>
    <row r="816" spans="3:48" x14ac:dyDescent="0.2">
      <c r="C816" s="51"/>
      <c r="K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</row>
    <row r="817" spans="3:48" x14ac:dyDescent="0.2">
      <c r="C817" s="51"/>
      <c r="K817" s="89"/>
    </row>
    <row r="818" spans="3:48" x14ac:dyDescent="0.2">
      <c r="C818" s="51"/>
      <c r="K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</row>
    <row r="819" spans="3:48" x14ac:dyDescent="0.2">
      <c r="C819" s="51"/>
      <c r="K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</row>
    <row r="820" spans="3:48" x14ac:dyDescent="0.2">
      <c r="C820" s="51"/>
      <c r="K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</row>
    <row r="821" spans="3:48" x14ac:dyDescent="0.2">
      <c r="C821" s="51"/>
      <c r="K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</row>
    <row r="822" spans="3:48" x14ac:dyDescent="0.2">
      <c r="C822" s="51"/>
      <c r="K822" s="89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</row>
    <row r="823" spans="3:48" x14ac:dyDescent="0.2">
      <c r="C823" s="51"/>
      <c r="K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</row>
    <row r="824" spans="3:48" x14ac:dyDescent="0.2">
      <c r="C824" s="51"/>
      <c r="K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</row>
    <row r="825" spans="3:48" x14ac:dyDescent="0.2">
      <c r="C825" s="51"/>
      <c r="K825" s="89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</row>
    <row r="826" spans="3:48" x14ac:dyDescent="0.2">
      <c r="C826" s="51"/>
      <c r="K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</row>
    <row r="827" spans="3:48" x14ac:dyDescent="0.2">
      <c r="C827" s="51"/>
      <c r="K827" s="89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</row>
    <row r="828" spans="3:48" x14ac:dyDescent="0.2">
      <c r="C828" s="51"/>
      <c r="K828" s="89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</row>
    <row r="829" spans="3:48" x14ac:dyDescent="0.2">
      <c r="C829" s="51"/>
      <c r="K829" s="89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</row>
    <row r="830" spans="3:48" x14ac:dyDescent="0.2">
      <c r="C830" s="51"/>
      <c r="K830" s="89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</row>
    <row r="831" spans="3:48" x14ac:dyDescent="0.2">
      <c r="C831" s="51"/>
      <c r="K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</row>
    <row r="832" spans="3:48" x14ac:dyDescent="0.2">
      <c r="C832" s="51"/>
      <c r="K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</row>
    <row r="833" spans="3:48" x14ac:dyDescent="0.2">
      <c r="C833" s="51"/>
      <c r="K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</row>
    <row r="834" spans="3:48" x14ac:dyDescent="0.2">
      <c r="C834" s="51"/>
      <c r="K834" s="89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</row>
    <row r="835" spans="3:48" x14ac:dyDescent="0.2">
      <c r="C835" s="51"/>
      <c r="K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</row>
    <row r="836" spans="3:48" x14ac:dyDescent="0.2">
      <c r="C836" s="51"/>
      <c r="K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</row>
    <row r="837" spans="3:48" x14ac:dyDescent="0.2">
      <c r="C837" s="51"/>
      <c r="K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</row>
    <row r="838" spans="3:48" x14ac:dyDescent="0.2">
      <c r="C838" s="51"/>
      <c r="K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</row>
    <row r="839" spans="3:48" x14ac:dyDescent="0.2">
      <c r="C839" s="51"/>
      <c r="K839" s="89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</row>
    <row r="840" spans="3:48" x14ac:dyDescent="0.2">
      <c r="C840" s="51"/>
      <c r="K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</row>
    <row r="841" spans="3:48" x14ac:dyDescent="0.2">
      <c r="C841" s="51"/>
      <c r="K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</row>
    <row r="842" spans="3:48" x14ac:dyDescent="0.2">
      <c r="C842" s="51"/>
      <c r="K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</row>
    <row r="843" spans="3:48" x14ac:dyDescent="0.2">
      <c r="C843" s="51"/>
      <c r="K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</row>
    <row r="844" spans="3:48" x14ac:dyDescent="0.2">
      <c r="C844" s="51"/>
      <c r="K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</row>
    <row r="845" spans="3:48" x14ac:dyDescent="0.2">
      <c r="C845" s="51"/>
      <c r="K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</row>
    <row r="846" spans="3:48" x14ac:dyDescent="0.2">
      <c r="C846" s="51"/>
      <c r="K846" s="89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</row>
    <row r="847" spans="3:48" x14ac:dyDescent="0.2">
      <c r="C847" s="51"/>
      <c r="K847" s="89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</row>
    <row r="848" spans="3:48" x14ac:dyDescent="0.2">
      <c r="C848" s="51"/>
      <c r="K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</row>
    <row r="849" spans="3:48" x14ac:dyDescent="0.2">
      <c r="C849" s="51"/>
      <c r="K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</row>
    <row r="850" spans="3:48" x14ac:dyDescent="0.2">
      <c r="C850" s="51"/>
      <c r="K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</row>
    <row r="851" spans="3:48" x14ac:dyDescent="0.2">
      <c r="C851" s="51"/>
      <c r="K851" s="89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</row>
    <row r="852" spans="3:48" x14ac:dyDescent="0.2">
      <c r="C852" s="51"/>
      <c r="K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</row>
    <row r="853" spans="3:48" x14ac:dyDescent="0.2">
      <c r="C853" s="51"/>
      <c r="K853" s="89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</row>
    <row r="854" spans="3:48" x14ac:dyDescent="0.2">
      <c r="C854" s="51"/>
      <c r="K854" s="89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</row>
    <row r="855" spans="3:48" x14ac:dyDescent="0.2">
      <c r="C855" s="51"/>
      <c r="K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</row>
    <row r="856" spans="3:48" x14ac:dyDescent="0.2">
      <c r="C856" s="51"/>
      <c r="K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</row>
    <row r="857" spans="3:48" x14ac:dyDescent="0.2">
      <c r="C857" s="51"/>
      <c r="K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</row>
    <row r="858" spans="3:48" x14ac:dyDescent="0.2">
      <c r="C858" s="51"/>
      <c r="K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</row>
    <row r="859" spans="3:48" x14ac:dyDescent="0.2">
      <c r="C859" s="51"/>
      <c r="K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</row>
    <row r="860" spans="3:48" x14ac:dyDescent="0.2">
      <c r="C860" s="51"/>
      <c r="K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</row>
    <row r="861" spans="3:48" x14ac:dyDescent="0.2">
      <c r="C861" s="51"/>
      <c r="K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</row>
    <row r="862" spans="3:48" x14ac:dyDescent="0.2">
      <c r="C862" s="51"/>
      <c r="K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</row>
    <row r="863" spans="3:48" x14ac:dyDescent="0.2">
      <c r="C863" s="51"/>
      <c r="K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</row>
    <row r="864" spans="3:48" x14ac:dyDescent="0.2">
      <c r="C864" s="51"/>
      <c r="K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</row>
    <row r="865" spans="11:48" x14ac:dyDescent="0.2">
      <c r="K865" s="89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</row>
    <row r="866" spans="11:48" x14ac:dyDescent="0.2">
      <c r="K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</row>
    <row r="867" spans="11:48" x14ac:dyDescent="0.2">
      <c r="K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</row>
    <row r="868" spans="11:48" x14ac:dyDescent="0.2">
      <c r="K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</row>
    <row r="869" spans="11:48" x14ac:dyDescent="0.2">
      <c r="K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</row>
    <row r="870" spans="11:48" x14ac:dyDescent="0.2">
      <c r="K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</row>
    <row r="871" spans="11:48" x14ac:dyDescent="0.2">
      <c r="K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</row>
    <row r="872" spans="11:48" x14ac:dyDescent="0.2">
      <c r="K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</row>
    <row r="873" spans="11:48" x14ac:dyDescent="0.2">
      <c r="K873" s="89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B873" s="86"/>
      <c r="AC873" s="86"/>
      <c r="AD873" s="86"/>
      <c r="AE873" s="86"/>
      <c r="AF873" s="86"/>
      <c r="AG873" s="86"/>
      <c r="AH873" s="86"/>
      <c r="AI873" s="86"/>
      <c r="AJ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</row>
    <row r="874" spans="11:48" x14ac:dyDescent="0.2">
      <c r="K874" s="89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B874" s="86"/>
      <c r="AC874" s="86"/>
      <c r="AD874" s="86"/>
      <c r="AE874" s="86"/>
      <c r="AF874" s="86"/>
      <c r="AG874" s="86"/>
      <c r="AH874" s="86"/>
      <c r="AI874" s="86"/>
      <c r="AJ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</row>
    <row r="875" spans="11:48" x14ac:dyDescent="0.2">
      <c r="K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</row>
    <row r="876" spans="11:48" x14ac:dyDescent="0.2">
      <c r="K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</row>
    <row r="877" spans="11:48" x14ac:dyDescent="0.2">
      <c r="K877" s="89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</row>
    <row r="878" spans="11:48" x14ac:dyDescent="0.2">
      <c r="K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</row>
    <row r="879" spans="11:48" x14ac:dyDescent="0.2">
      <c r="K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</row>
    <row r="880" spans="11:48" x14ac:dyDescent="0.2">
      <c r="K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</row>
    <row r="881" spans="11:48" x14ac:dyDescent="0.2">
      <c r="K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</row>
    <row r="882" spans="11:48" x14ac:dyDescent="0.2">
      <c r="K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</row>
    <row r="883" spans="11:48" x14ac:dyDescent="0.2">
      <c r="K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</row>
    <row r="884" spans="11:48" x14ac:dyDescent="0.2">
      <c r="K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</row>
    <row r="885" spans="11:48" x14ac:dyDescent="0.2">
      <c r="K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</row>
    <row r="886" spans="11:48" x14ac:dyDescent="0.2">
      <c r="K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</row>
    <row r="887" spans="11:48" x14ac:dyDescent="0.2">
      <c r="K887" s="89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</row>
    <row r="888" spans="11:48" x14ac:dyDescent="0.2">
      <c r="K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</row>
    <row r="889" spans="11:48" x14ac:dyDescent="0.2">
      <c r="K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</row>
    <row r="890" spans="11:48" x14ac:dyDescent="0.2">
      <c r="K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</row>
    <row r="891" spans="11:48" x14ac:dyDescent="0.2">
      <c r="K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</row>
    <row r="892" spans="11:48" x14ac:dyDescent="0.2">
      <c r="K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</row>
    <row r="893" spans="11:48" x14ac:dyDescent="0.2">
      <c r="K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</row>
    <row r="894" spans="11:48" x14ac:dyDescent="0.2">
      <c r="K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</row>
    <row r="895" spans="11:48" x14ac:dyDescent="0.2">
      <c r="K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</row>
    <row r="896" spans="11:48" x14ac:dyDescent="0.2"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</row>
    <row r="897" spans="13:48" x14ac:dyDescent="0.2"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</row>
    <row r="898" spans="13:48" x14ac:dyDescent="0.2"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</row>
    <row r="899" spans="13:48" x14ac:dyDescent="0.2"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</row>
    <row r="900" spans="13:48" x14ac:dyDescent="0.2"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</row>
    <row r="901" spans="13:48" x14ac:dyDescent="0.2"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</row>
    <row r="902" spans="13:48" x14ac:dyDescent="0.2"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</row>
    <row r="903" spans="13:48" x14ac:dyDescent="0.2"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</row>
    <row r="904" spans="13:48" x14ac:dyDescent="0.2"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</row>
    <row r="905" spans="13:48" x14ac:dyDescent="0.2"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</row>
    <row r="906" spans="13:48" x14ac:dyDescent="0.2"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</row>
    <row r="907" spans="13:48" x14ac:dyDescent="0.2"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</row>
    <row r="908" spans="13:48" x14ac:dyDescent="0.2"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</row>
    <row r="909" spans="13:48" x14ac:dyDescent="0.2"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</row>
    <row r="910" spans="13:48" x14ac:dyDescent="0.2"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</row>
    <row r="911" spans="13:48" x14ac:dyDescent="0.2"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</row>
    <row r="912" spans="13:48" x14ac:dyDescent="0.2"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</row>
    <row r="913" spans="13:48" x14ac:dyDescent="0.2"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</row>
    <row r="914" spans="13:48" x14ac:dyDescent="0.2"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</row>
    <row r="915" spans="13:48" x14ac:dyDescent="0.2"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</row>
    <row r="916" spans="13:48" x14ac:dyDescent="0.2"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</row>
    <row r="917" spans="13:48" x14ac:dyDescent="0.2"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</row>
    <row r="918" spans="13:48" x14ac:dyDescent="0.2"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</row>
    <row r="919" spans="13:48" x14ac:dyDescent="0.2"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</row>
    <row r="920" spans="13:48" x14ac:dyDescent="0.2"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</row>
    <row r="921" spans="13:48" x14ac:dyDescent="0.2"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</row>
    <row r="922" spans="13:48" x14ac:dyDescent="0.2"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</row>
    <row r="923" spans="13:48" x14ac:dyDescent="0.2"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</row>
    <row r="924" spans="13:48" x14ac:dyDescent="0.2"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</row>
    <row r="925" spans="13:48" x14ac:dyDescent="0.2"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</row>
    <row r="926" spans="13:48" x14ac:dyDescent="0.2"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</row>
    <row r="927" spans="13:48" x14ac:dyDescent="0.2"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</row>
    <row r="928" spans="13:48" x14ac:dyDescent="0.2"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</row>
    <row r="929" spans="13:48" x14ac:dyDescent="0.2"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</row>
    <row r="930" spans="13:48" x14ac:dyDescent="0.2"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</row>
    <row r="931" spans="13:48" x14ac:dyDescent="0.2"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</row>
    <row r="932" spans="13:48" x14ac:dyDescent="0.2"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</row>
    <row r="933" spans="13:48" x14ac:dyDescent="0.2"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</row>
    <row r="934" spans="13:48" x14ac:dyDescent="0.2"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</row>
    <row r="935" spans="13:48" x14ac:dyDescent="0.2"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</row>
    <row r="936" spans="13:48" x14ac:dyDescent="0.2"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</row>
    <row r="937" spans="13:48" x14ac:dyDescent="0.2"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</row>
    <row r="938" spans="13:48" x14ac:dyDescent="0.2"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</row>
    <row r="939" spans="13:48" x14ac:dyDescent="0.2"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</row>
    <row r="940" spans="13:48" x14ac:dyDescent="0.2"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</row>
    <row r="941" spans="13:48" x14ac:dyDescent="0.2"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</row>
    <row r="942" spans="13:48" x14ac:dyDescent="0.2"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</row>
    <row r="943" spans="13:48" x14ac:dyDescent="0.2"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</row>
    <row r="944" spans="13:48" x14ac:dyDescent="0.2"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</row>
    <row r="945" spans="13:48" x14ac:dyDescent="0.2"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</row>
    <row r="946" spans="13:48" x14ac:dyDescent="0.2"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</row>
    <row r="947" spans="13:48" x14ac:dyDescent="0.2"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</row>
    <row r="948" spans="13:48" x14ac:dyDescent="0.2"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</row>
    <row r="949" spans="13:48" x14ac:dyDescent="0.2"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</row>
    <row r="950" spans="13:48" x14ac:dyDescent="0.2"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</row>
    <row r="951" spans="13:48" x14ac:dyDescent="0.2"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</row>
    <row r="952" spans="13:48" x14ac:dyDescent="0.2"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</row>
    <row r="953" spans="13:48" x14ac:dyDescent="0.2"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</row>
    <row r="954" spans="13:48" x14ac:dyDescent="0.2"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</row>
    <row r="955" spans="13:48" x14ac:dyDescent="0.2"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</row>
    <row r="956" spans="13:48" x14ac:dyDescent="0.2"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</row>
    <row r="957" spans="13:48" x14ac:dyDescent="0.2"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</row>
    <row r="958" spans="13:48" x14ac:dyDescent="0.2"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</row>
    <row r="959" spans="13:48" x14ac:dyDescent="0.2"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</row>
    <row r="960" spans="13:48" x14ac:dyDescent="0.2"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</row>
    <row r="961" spans="13:48" x14ac:dyDescent="0.2"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</row>
    <row r="962" spans="13:48" x14ac:dyDescent="0.2"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</row>
    <row r="963" spans="13:48" x14ac:dyDescent="0.2"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</row>
    <row r="964" spans="13:48" x14ac:dyDescent="0.2"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</row>
    <row r="965" spans="13:48" x14ac:dyDescent="0.2"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</row>
    <row r="966" spans="13:48" x14ac:dyDescent="0.2"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</row>
    <row r="967" spans="13:48" x14ac:dyDescent="0.2"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</row>
    <row r="968" spans="13:48" x14ac:dyDescent="0.2"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</row>
    <row r="969" spans="13:48" x14ac:dyDescent="0.2"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</row>
    <row r="970" spans="13:48" x14ac:dyDescent="0.2"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</row>
    <row r="971" spans="13:48" x14ac:dyDescent="0.2"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</row>
    <row r="972" spans="13:48" x14ac:dyDescent="0.2"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</row>
    <row r="973" spans="13:48" x14ac:dyDescent="0.2"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</row>
    <row r="974" spans="13:48" x14ac:dyDescent="0.2"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</row>
    <row r="975" spans="13:48" x14ac:dyDescent="0.2"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</row>
    <row r="976" spans="13:48" x14ac:dyDescent="0.2"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</row>
    <row r="977" spans="13:48" x14ac:dyDescent="0.2"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</row>
    <row r="978" spans="13:48" x14ac:dyDescent="0.2"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</row>
    <row r="979" spans="13:48" x14ac:dyDescent="0.2"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</row>
    <row r="980" spans="13:48" x14ac:dyDescent="0.2"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</row>
    <row r="981" spans="13:48" x14ac:dyDescent="0.2"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</row>
    <row r="982" spans="13:48" x14ac:dyDescent="0.2"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</row>
    <row r="983" spans="13:48" x14ac:dyDescent="0.2"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</row>
    <row r="984" spans="13:48" x14ac:dyDescent="0.2"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</row>
    <row r="985" spans="13:48" x14ac:dyDescent="0.2"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</row>
    <row r="986" spans="13:48" x14ac:dyDescent="0.2"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</row>
    <row r="987" spans="13:48" x14ac:dyDescent="0.2"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</row>
    <row r="988" spans="13:48" x14ac:dyDescent="0.2"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</row>
    <row r="989" spans="13:48" x14ac:dyDescent="0.2"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</row>
    <row r="990" spans="13:48" x14ac:dyDescent="0.2"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</row>
    <row r="991" spans="13:48" x14ac:dyDescent="0.2"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</row>
    <row r="992" spans="13:48" x14ac:dyDescent="0.2"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</row>
    <row r="993" spans="13:48" x14ac:dyDescent="0.2"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</row>
    <row r="994" spans="13:48" x14ac:dyDescent="0.2"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</row>
    <row r="995" spans="13:48" x14ac:dyDescent="0.2"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</row>
    <row r="996" spans="13:48" x14ac:dyDescent="0.2"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</row>
    <row r="997" spans="13:48" x14ac:dyDescent="0.2"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</row>
    <row r="998" spans="13:48" x14ac:dyDescent="0.2"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</row>
    <row r="999" spans="13:48" x14ac:dyDescent="0.2"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</row>
    <row r="1000" spans="13:48" x14ac:dyDescent="0.2"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</row>
    <row r="1001" spans="13:48" x14ac:dyDescent="0.2"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</row>
    <row r="1002" spans="13:48" x14ac:dyDescent="0.2">
      <c r="M1002" s="89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</row>
    <row r="1003" spans="13:48" x14ac:dyDescent="0.2">
      <c r="M1003" s="89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</row>
    <row r="1004" spans="13:48" x14ac:dyDescent="0.2"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</row>
    <row r="1005" spans="13:48" x14ac:dyDescent="0.2">
      <c r="M1005" s="89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</row>
    <row r="1006" spans="13:48" x14ac:dyDescent="0.2">
      <c r="M1006" s="89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</row>
    <row r="1007" spans="13:48" x14ac:dyDescent="0.2"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</row>
    <row r="1008" spans="13:48" x14ac:dyDescent="0.2">
      <c r="M1008" s="89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</row>
    <row r="1009" spans="13:48" x14ac:dyDescent="0.2">
      <c r="M1009" s="89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</row>
    <row r="1010" spans="13:48" x14ac:dyDescent="0.2"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</row>
    <row r="1011" spans="13:48" x14ac:dyDescent="0.2">
      <c r="M1011" s="89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</row>
    <row r="1012" spans="13:48" x14ac:dyDescent="0.2"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</row>
    <row r="1013" spans="13:48" x14ac:dyDescent="0.2"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</row>
    <row r="1014" spans="13:48" x14ac:dyDescent="0.2"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</row>
    <row r="1015" spans="13:48" x14ac:dyDescent="0.2"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</row>
    <row r="1016" spans="13:48" x14ac:dyDescent="0.2"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</row>
    <row r="1017" spans="13:48" x14ac:dyDescent="0.2"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</row>
    <row r="1018" spans="13:48" x14ac:dyDescent="0.2"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</row>
    <row r="1019" spans="13:48" x14ac:dyDescent="0.2"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</row>
    <row r="1020" spans="13:48" x14ac:dyDescent="0.2"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</row>
    <row r="1021" spans="13:48" x14ac:dyDescent="0.2"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</row>
    <row r="1022" spans="13:48" x14ac:dyDescent="0.2">
      <c r="M1022" s="89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</row>
    <row r="1023" spans="13:48" x14ac:dyDescent="0.2"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</row>
    <row r="1024" spans="13:48" x14ac:dyDescent="0.2">
      <c r="M1024" s="89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</row>
    <row r="1025" spans="13:48" x14ac:dyDescent="0.2">
      <c r="M1025" s="89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</row>
    <row r="1026" spans="13:48" x14ac:dyDescent="0.2"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</row>
    <row r="1027" spans="13:48" x14ac:dyDescent="0.2">
      <c r="M1027" s="89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</row>
    <row r="1028" spans="13:48" x14ac:dyDescent="0.2">
      <c r="M1028" s="89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</row>
    <row r="1029" spans="13:48" x14ac:dyDescent="0.2"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</row>
    <row r="1030" spans="13:48" x14ac:dyDescent="0.2">
      <c r="M1030" s="89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</row>
    <row r="1031" spans="13:48" x14ac:dyDescent="0.2">
      <c r="M1031" s="89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</row>
    <row r="1032" spans="13:48" x14ac:dyDescent="0.2"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</row>
    <row r="1033" spans="13:48" x14ac:dyDescent="0.2">
      <c r="M1033" s="89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</row>
    <row r="1034" spans="13:48" x14ac:dyDescent="0.2">
      <c r="M1034" s="89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</row>
    <row r="1035" spans="13:48" x14ac:dyDescent="0.2"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</row>
    <row r="1036" spans="13:48" x14ac:dyDescent="0.2">
      <c r="M1036" s="89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</row>
    <row r="1037" spans="13:48" x14ac:dyDescent="0.2"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</row>
    <row r="1038" spans="13:48" x14ac:dyDescent="0.2"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</row>
    <row r="1039" spans="13:48" x14ac:dyDescent="0.2">
      <c r="M1039" s="89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</row>
    <row r="1040" spans="13:48" x14ac:dyDescent="0.2">
      <c r="M1040" s="89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</row>
    <row r="1041" spans="13:48" x14ac:dyDescent="0.2"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</row>
    <row r="1042" spans="13:48" x14ac:dyDescent="0.2"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</row>
    <row r="1043" spans="13:48" x14ac:dyDescent="0.2">
      <c r="M1043" s="89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</row>
    <row r="1044" spans="13:48" x14ac:dyDescent="0.2"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A1044" s="8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</row>
    <row r="1045" spans="13:48" x14ac:dyDescent="0.2"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</row>
    <row r="1046" spans="13:48" x14ac:dyDescent="0.2">
      <c r="M1046" s="89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</row>
    <row r="1047" spans="13:48" x14ac:dyDescent="0.2">
      <c r="M1047" s="89"/>
      <c r="N1047" s="89"/>
      <c r="O1047" s="89"/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</row>
    <row r="1048" spans="13:48" x14ac:dyDescent="0.2">
      <c r="M1048" s="89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</row>
    <row r="1049" spans="13:48" x14ac:dyDescent="0.2">
      <c r="M1049" s="89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</row>
    <row r="1050" spans="13:48" x14ac:dyDescent="0.2"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</row>
    <row r="1051" spans="13:48" x14ac:dyDescent="0.2"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</row>
    <row r="1052" spans="13:48" x14ac:dyDescent="0.2">
      <c r="M1052" s="89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</row>
    <row r="1053" spans="13:48" x14ac:dyDescent="0.2"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</row>
    <row r="1054" spans="13:48" x14ac:dyDescent="0.2">
      <c r="M1054" s="89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</row>
    <row r="1055" spans="13:48" x14ac:dyDescent="0.2">
      <c r="M1055" s="89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</row>
    <row r="1056" spans="13:48" x14ac:dyDescent="0.2"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</row>
    <row r="1057" spans="13:48" x14ac:dyDescent="0.2">
      <c r="M1057" s="89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</row>
    <row r="1058" spans="13:48" x14ac:dyDescent="0.2">
      <c r="M1058" s="89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</row>
    <row r="1059" spans="13:48" x14ac:dyDescent="0.2"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</row>
    <row r="1060" spans="13:48" x14ac:dyDescent="0.2">
      <c r="M1060" s="89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</row>
    <row r="1061" spans="13:48" x14ac:dyDescent="0.2">
      <c r="M1061" s="89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</row>
    <row r="1062" spans="13:48" x14ac:dyDescent="0.2"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</row>
    <row r="1063" spans="13:48" x14ac:dyDescent="0.2">
      <c r="M1063" s="89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</row>
    <row r="1064" spans="13:48" x14ac:dyDescent="0.2"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</row>
    <row r="1065" spans="13:48" x14ac:dyDescent="0.2"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</row>
    <row r="1066" spans="13:48" x14ac:dyDescent="0.2"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</row>
    <row r="1067" spans="13:48" x14ac:dyDescent="0.2">
      <c r="M1067" s="89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</row>
    <row r="1068" spans="13:48" x14ac:dyDescent="0.2"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</row>
    <row r="1069" spans="13:48" x14ac:dyDescent="0.2">
      <c r="M1069" s="89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</row>
    <row r="1070" spans="13:48" x14ac:dyDescent="0.2">
      <c r="M1070" s="89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</row>
    <row r="1071" spans="13:48" x14ac:dyDescent="0.2"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</row>
    <row r="1072" spans="13:48" x14ac:dyDescent="0.2">
      <c r="M1072" s="89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</row>
    <row r="1073" spans="13:48" x14ac:dyDescent="0.2">
      <c r="M1073" s="89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</row>
    <row r="1074" spans="13:48" x14ac:dyDescent="0.2"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</row>
    <row r="1075" spans="13:48" x14ac:dyDescent="0.2">
      <c r="M1075" s="89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</row>
    <row r="1076" spans="13:48" x14ac:dyDescent="0.2">
      <c r="M1076" s="89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</row>
    <row r="1077" spans="13:48" x14ac:dyDescent="0.2"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</row>
    <row r="1078" spans="13:48" x14ac:dyDescent="0.2">
      <c r="M1078" s="89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</row>
    <row r="1079" spans="13:48" x14ac:dyDescent="0.2">
      <c r="M1079" s="89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</row>
    <row r="1080" spans="13:48" x14ac:dyDescent="0.2"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</row>
    <row r="1081" spans="13:48" x14ac:dyDescent="0.2">
      <c r="M1081" s="89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</row>
    <row r="1082" spans="13:48" x14ac:dyDescent="0.2"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</row>
    <row r="1083" spans="13:48" x14ac:dyDescent="0.2"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</row>
    <row r="1084" spans="13:48" x14ac:dyDescent="0.2">
      <c r="M1084" s="89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</row>
    <row r="1085" spans="13:48" x14ac:dyDescent="0.2">
      <c r="M1085" s="89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</row>
    <row r="1086" spans="13:48" x14ac:dyDescent="0.2"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</row>
    <row r="1087" spans="13:48" x14ac:dyDescent="0.2">
      <c r="M1087" s="89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</row>
    <row r="1088" spans="13:48" x14ac:dyDescent="0.2"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</row>
    <row r="1089" spans="13:48" x14ac:dyDescent="0.2"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</row>
    <row r="1090" spans="13:48" x14ac:dyDescent="0.2">
      <c r="M1090" s="89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</row>
    <row r="1091" spans="13:48" x14ac:dyDescent="0.2">
      <c r="M1091" s="89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</row>
    <row r="1092" spans="13:48" x14ac:dyDescent="0.2"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</row>
    <row r="1093" spans="13:48" x14ac:dyDescent="0.2"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</row>
    <row r="1094" spans="13:48" x14ac:dyDescent="0.2">
      <c r="M1094" s="89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</row>
    <row r="1095" spans="13:48" x14ac:dyDescent="0.2"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</row>
    <row r="1096" spans="13:48" x14ac:dyDescent="0.2">
      <c r="M1096" s="89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</row>
    <row r="1097" spans="13:48" x14ac:dyDescent="0.2">
      <c r="M1097" s="89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</row>
    <row r="1098" spans="13:48" x14ac:dyDescent="0.2"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</row>
    <row r="1099" spans="13:48" x14ac:dyDescent="0.2">
      <c r="M1099" s="89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</row>
    <row r="1100" spans="13:48" x14ac:dyDescent="0.2">
      <c r="M1100" s="89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</row>
    <row r="1101" spans="13:48" x14ac:dyDescent="0.2"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</row>
    <row r="1102" spans="13:48" x14ac:dyDescent="0.2"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</row>
    <row r="1103" spans="13:48" x14ac:dyDescent="0.2">
      <c r="M1103" s="89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</row>
    <row r="1104" spans="13:48" x14ac:dyDescent="0.2"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</row>
    <row r="1105" spans="13:48" x14ac:dyDescent="0.2">
      <c r="M1105" s="89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</row>
    <row r="1106" spans="13:48" x14ac:dyDescent="0.2">
      <c r="M1106" s="89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</row>
    <row r="1107" spans="13:48" x14ac:dyDescent="0.2"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</row>
    <row r="1108" spans="13:48" x14ac:dyDescent="0.2"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</row>
    <row r="1109" spans="13:48" x14ac:dyDescent="0.2">
      <c r="M1109" s="89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</row>
    <row r="1110" spans="13:48" x14ac:dyDescent="0.2"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</row>
    <row r="1111" spans="13:48" x14ac:dyDescent="0.2">
      <c r="M1111" s="89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</row>
    <row r="1112" spans="13:48" x14ac:dyDescent="0.2">
      <c r="M1112" s="89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</row>
    <row r="1113" spans="13:48" x14ac:dyDescent="0.2"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</row>
    <row r="1114" spans="13:48" x14ac:dyDescent="0.2"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</row>
    <row r="1115" spans="13:48" x14ac:dyDescent="0.2">
      <c r="M1115" s="89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</row>
    <row r="1116" spans="13:48" x14ac:dyDescent="0.2">
      <c r="M1116" s="89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</row>
    <row r="1117" spans="13:48" x14ac:dyDescent="0.2"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</row>
    <row r="1118" spans="13:48" x14ac:dyDescent="0.2">
      <c r="M1118" s="89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</row>
    <row r="1119" spans="13:48" x14ac:dyDescent="0.2">
      <c r="M1119" s="89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</row>
    <row r="1120" spans="13:48" x14ac:dyDescent="0.2"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</row>
    <row r="1121" spans="13:48" x14ac:dyDescent="0.2">
      <c r="M1121" s="89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</row>
    <row r="1122" spans="13:48" x14ac:dyDescent="0.2">
      <c r="M1122" s="89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</row>
    <row r="1123" spans="13:48" x14ac:dyDescent="0.2"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</row>
    <row r="1124" spans="13:48" x14ac:dyDescent="0.2">
      <c r="M1124" s="89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</row>
    <row r="1125" spans="13:48" x14ac:dyDescent="0.2">
      <c r="M1125" s="89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</row>
    <row r="1126" spans="13:48" x14ac:dyDescent="0.2"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</row>
    <row r="1127" spans="13:48" x14ac:dyDescent="0.2"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</row>
    <row r="1128" spans="13:48" x14ac:dyDescent="0.2"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</row>
    <row r="1129" spans="13:48" x14ac:dyDescent="0.2"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</row>
    <row r="1130" spans="13:48" x14ac:dyDescent="0.2"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</row>
    <row r="1131" spans="13:48" x14ac:dyDescent="0.2">
      <c r="M1131" s="89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</row>
    <row r="1132" spans="13:48" x14ac:dyDescent="0.2"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</row>
    <row r="1133" spans="13:48" x14ac:dyDescent="0.2">
      <c r="M1133" s="89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</row>
    <row r="1134" spans="13:48" x14ac:dyDescent="0.2">
      <c r="M1134" s="89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</row>
    <row r="1135" spans="13:48" x14ac:dyDescent="0.2"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</row>
    <row r="1136" spans="13:48" x14ac:dyDescent="0.2">
      <c r="M1136" s="89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</row>
    <row r="1137" spans="13:48" x14ac:dyDescent="0.2">
      <c r="M1137" s="89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</row>
    <row r="1138" spans="13:48" x14ac:dyDescent="0.2"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</row>
    <row r="1139" spans="13:48" x14ac:dyDescent="0.2">
      <c r="M1139" s="89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</row>
    <row r="1140" spans="13:48" x14ac:dyDescent="0.2">
      <c r="M1140" s="89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</row>
    <row r="1141" spans="13:48" x14ac:dyDescent="0.2"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</row>
    <row r="1142" spans="13:48" x14ac:dyDescent="0.2">
      <c r="M1142" s="89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</row>
    <row r="1143" spans="13:48" x14ac:dyDescent="0.2">
      <c r="M1143" s="89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</row>
    <row r="1144" spans="13:48" x14ac:dyDescent="0.2"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</row>
    <row r="1145" spans="13:48" x14ac:dyDescent="0.2">
      <c r="M1145" s="89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</row>
    <row r="1146" spans="13:48" x14ac:dyDescent="0.2">
      <c r="M1146" s="89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</row>
    <row r="1147" spans="13:48" x14ac:dyDescent="0.2"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</row>
    <row r="1148" spans="13:48" x14ac:dyDescent="0.2">
      <c r="M1148" s="89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</row>
    <row r="1149" spans="13:48" x14ac:dyDescent="0.2">
      <c r="M1149" s="89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</row>
    <row r="1150" spans="13:48" x14ac:dyDescent="0.2"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</row>
    <row r="1151" spans="13:48" x14ac:dyDescent="0.2">
      <c r="M1151" s="89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</row>
    <row r="1152" spans="13:48" x14ac:dyDescent="0.2"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</row>
    <row r="1153" spans="13:48" x14ac:dyDescent="0.2"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</row>
    <row r="1154" spans="13:48" x14ac:dyDescent="0.2"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</row>
    <row r="1155" spans="13:48" x14ac:dyDescent="0.2"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</row>
    <row r="1156" spans="13:48" x14ac:dyDescent="0.2"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</row>
    <row r="1157" spans="13:48" x14ac:dyDescent="0.2"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</row>
    <row r="1158" spans="13:48" x14ac:dyDescent="0.2"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</row>
    <row r="1159" spans="13:48" x14ac:dyDescent="0.2"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</row>
    <row r="1160" spans="13:48" x14ac:dyDescent="0.2"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</row>
    <row r="1161" spans="13:48" x14ac:dyDescent="0.2"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</row>
    <row r="1162" spans="13:48" x14ac:dyDescent="0.2"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</row>
    <row r="1163" spans="13:48" x14ac:dyDescent="0.2"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</row>
    <row r="1164" spans="13:48" x14ac:dyDescent="0.2"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</row>
    <row r="1165" spans="13:48" x14ac:dyDescent="0.2"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</row>
    <row r="1166" spans="13:48" x14ac:dyDescent="0.2"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</row>
    <row r="1167" spans="13:48" x14ac:dyDescent="0.2"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</row>
    <row r="1168" spans="13:48" x14ac:dyDescent="0.2"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</row>
    <row r="1169" spans="13:48" x14ac:dyDescent="0.2"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</row>
    <row r="1170" spans="13:48" x14ac:dyDescent="0.2"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</row>
    <row r="1171" spans="13:48" x14ac:dyDescent="0.2"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</row>
    <row r="1172" spans="13:48" x14ac:dyDescent="0.2"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</row>
    <row r="1173" spans="13:48" x14ac:dyDescent="0.2"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</row>
    <row r="1174" spans="13:48" x14ac:dyDescent="0.2"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</row>
    <row r="1175" spans="13:48" x14ac:dyDescent="0.2"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</row>
    <row r="1176" spans="13:48" x14ac:dyDescent="0.2"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</row>
    <row r="1177" spans="13:48" x14ac:dyDescent="0.2"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</row>
    <row r="1178" spans="13:48" x14ac:dyDescent="0.2"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</row>
    <row r="1179" spans="13:48" x14ac:dyDescent="0.2"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</row>
    <row r="1180" spans="13:48" x14ac:dyDescent="0.2"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</row>
    <row r="1181" spans="13:48" x14ac:dyDescent="0.2"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</row>
    <row r="1182" spans="13:48" x14ac:dyDescent="0.2"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</row>
    <row r="1183" spans="13:48" x14ac:dyDescent="0.2"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</row>
    <row r="1184" spans="13:48" x14ac:dyDescent="0.2"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</row>
    <row r="1192" spans="13:48" x14ac:dyDescent="0.2">
      <c r="M1192" s="87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87"/>
      <c r="AV1192" s="87"/>
    </row>
    <row r="1193" spans="13:48" x14ac:dyDescent="0.2">
      <c r="M1193" s="87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</row>
    <row r="1194" spans="13:48" x14ac:dyDescent="0.2">
      <c r="M1194" s="87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</row>
    <row r="1195" spans="13:48" x14ac:dyDescent="0.2">
      <c r="M1195" s="87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</row>
    <row r="1196" spans="13:48" x14ac:dyDescent="0.2">
      <c r="M1196" s="87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</row>
    <row r="1197" spans="13:48" x14ac:dyDescent="0.2"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</row>
    <row r="1198" spans="13:48" x14ac:dyDescent="0.2"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</row>
    <row r="1199" spans="13:48" x14ac:dyDescent="0.2">
      <c r="M1199" s="87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</row>
    <row r="1200" spans="13:48" x14ac:dyDescent="0.2"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</row>
    <row r="1201" spans="13:48" x14ac:dyDescent="0.2"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</row>
    <row r="1202" spans="13:48" x14ac:dyDescent="0.2">
      <c r="M1202" s="87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</row>
    <row r="1203" spans="13:48" x14ac:dyDescent="0.2">
      <c r="M1203" s="87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</row>
    <row r="1204" spans="13:48" x14ac:dyDescent="0.2">
      <c r="M1204" s="87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</row>
    <row r="1205" spans="13:48" x14ac:dyDescent="0.2">
      <c r="M1205" s="87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</row>
    <row r="1206" spans="13:48" x14ac:dyDescent="0.2"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</row>
    <row r="1207" spans="13:48" x14ac:dyDescent="0.2">
      <c r="M1207" s="87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</row>
    <row r="1208" spans="13:48" x14ac:dyDescent="0.2">
      <c r="M1208" s="87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</row>
    <row r="1209" spans="13:48" x14ac:dyDescent="0.2"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</row>
    <row r="1210" spans="13:48" x14ac:dyDescent="0.2">
      <c r="M1210" s="87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</row>
    <row r="1211" spans="13:48" x14ac:dyDescent="0.2">
      <c r="M1211" s="87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</row>
    <row r="1212" spans="13:48" x14ac:dyDescent="0.2">
      <c r="M1212" s="87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</row>
    <row r="1213" spans="13:48" x14ac:dyDescent="0.2">
      <c r="M1213" s="87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</row>
    <row r="1214" spans="13:48" x14ac:dyDescent="0.2">
      <c r="M1214" s="87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</row>
    <row r="1215" spans="13:48" x14ac:dyDescent="0.2">
      <c r="M1215" s="87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</row>
    <row r="1216" spans="13:48" x14ac:dyDescent="0.2">
      <c r="M1216" s="87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</row>
    <row r="1217" spans="13:48" x14ac:dyDescent="0.2"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</row>
    <row r="1218" spans="13:48" x14ac:dyDescent="0.2">
      <c r="M1218" s="87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</row>
    <row r="1219" spans="13:48" x14ac:dyDescent="0.2"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</row>
    <row r="1220" spans="13:48" x14ac:dyDescent="0.2">
      <c r="M1220" s="87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</row>
    <row r="1221" spans="13:48" x14ac:dyDescent="0.2">
      <c r="M1221" s="87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</row>
    <row r="1222" spans="13:48" x14ac:dyDescent="0.2">
      <c r="M1222" s="87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</row>
    <row r="1223" spans="13:48" x14ac:dyDescent="0.2">
      <c r="M1223" s="87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</row>
    <row r="1224" spans="13:48" x14ac:dyDescent="0.2">
      <c r="M1224" s="87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</row>
    <row r="1225" spans="13:48" x14ac:dyDescent="0.2">
      <c r="M1225" s="87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</row>
    <row r="1226" spans="13:48" x14ac:dyDescent="0.2">
      <c r="M1226" s="87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</row>
    <row r="1227" spans="13:48" x14ac:dyDescent="0.2">
      <c r="M1227" s="87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</row>
    <row r="1228" spans="13:48" x14ac:dyDescent="0.2"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</row>
    <row r="1229" spans="13:48" x14ac:dyDescent="0.2"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</row>
    <row r="1230" spans="13:48" x14ac:dyDescent="0.2">
      <c r="M1230" s="87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</row>
    <row r="1231" spans="13:48" x14ac:dyDescent="0.2">
      <c r="M1231" s="87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</row>
    <row r="1232" spans="13:48" x14ac:dyDescent="0.2">
      <c r="M1232" s="87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</row>
    <row r="1233" spans="13:48" x14ac:dyDescent="0.2">
      <c r="M1233" s="87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87"/>
      <c r="AV1233" s="87"/>
    </row>
    <row r="1234" spans="13:48" x14ac:dyDescent="0.2">
      <c r="M1234" s="87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</row>
    <row r="1235" spans="13:48" x14ac:dyDescent="0.2">
      <c r="M1235" s="87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87"/>
      <c r="AV1235" s="87"/>
    </row>
    <row r="1236" spans="13:48" x14ac:dyDescent="0.2">
      <c r="M1236" s="87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</row>
    <row r="1237" spans="13:48" x14ac:dyDescent="0.2">
      <c r="M1237" s="87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</row>
    <row r="1238" spans="13:48" x14ac:dyDescent="0.2">
      <c r="M1238" s="87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</row>
    <row r="1239" spans="13:48" x14ac:dyDescent="0.2">
      <c r="M1239" s="87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</row>
    <row r="1240" spans="13:48" x14ac:dyDescent="0.2">
      <c r="M1240" s="87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87"/>
      <c r="AV1240" s="87"/>
    </row>
    <row r="1241" spans="13:48" x14ac:dyDescent="0.2">
      <c r="M1241" s="87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</row>
    <row r="1242" spans="13:48" x14ac:dyDescent="0.2">
      <c r="M1242" s="87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87"/>
      <c r="AV1242" s="87"/>
    </row>
    <row r="1243" spans="13:48" x14ac:dyDescent="0.2">
      <c r="M1243" s="87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</row>
    <row r="1244" spans="13:48" x14ac:dyDescent="0.2">
      <c r="M1244" s="87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</row>
    <row r="1245" spans="13:48" x14ac:dyDescent="0.2">
      <c r="M1245" s="87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</row>
    <row r="1246" spans="13:48" x14ac:dyDescent="0.2">
      <c r="M1246" s="87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</row>
    <row r="1247" spans="13:48" x14ac:dyDescent="0.2">
      <c r="M1247" s="87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</row>
    <row r="1248" spans="13:48" x14ac:dyDescent="0.2">
      <c r="M1248" s="87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87"/>
      <c r="AV1248" s="87"/>
    </row>
    <row r="1249" spans="13:48" x14ac:dyDescent="0.2">
      <c r="M1249" s="87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</row>
    <row r="1250" spans="13:48" x14ac:dyDescent="0.2">
      <c r="M1250" s="87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</row>
    <row r="1251" spans="13:48" x14ac:dyDescent="0.2">
      <c r="M1251" s="87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87"/>
      <c r="AV1251" s="87"/>
    </row>
    <row r="1252" spans="13:48" x14ac:dyDescent="0.2">
      <c r="M1252" s="87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87"/>
      <c r="AV1252" s="87"/>
    </row>
    <row r="1253" spans="13:48" x14ac:dyDescent="0.2">
      <c r="M1253" s="87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</row>
    <row r="1254" spans="13:48" x14ac:dyDescent="0.2">
      <c r="M1254" s="87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</row>
    <row r="1255" spans="13:48" x14ac:dyDescent="0.2">
      <c r="M1255" s="87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87"/>
      <c r="AV1255" s="87"/>
    </row>
    <row r="1256" spans="13:48" x14ac:dyDescent="0.2">
      <c r="M1256" s="87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</row>
    <row r="1257" spans="13:48" x14ac:dyDescent="0.2">
      <c r="M1257" s="87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</row>
    <row r="1258" spans="13:48" x14ac:dyDescent="0.2">
      <c r="M1258" s="87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</row>
    <row r="1259" spans="13:48" x14ac:dyDescent="0.2"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</row>
    <row r="1260" spans="13:48" x14ac:dyDescent="0.2">
      <c r="M1260" s="87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87"/>
      <c r="AV1260" s="87"/>
    </row>
    <row r="1261" spans="13:48" x14ac:dyDescent="0.2">
      <c r="M1261" s="87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</row>
    <row r="1262" spans="13:48" x14ac:dyDescent="0.2">
      <c r="M1262" s="87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</row>
    <row r="1263" spans="13:48" x14ac:dyDescent="0.2">
      <c r="M1263" s="87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87"/>
      <c r="AV1263" s="87"/>
    </row>
    <row r="1264" spans="13:48" x14ac:dyDescent="0.2"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</row>
    <row r="1265" spans="13:48" x14ac:dyDescent="0.2">
      <c r="M1265" s="87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</row>
    <row r="1266" spans="13:48" x14ac:dyDescent="0.2">
      <c r="M1266" s="87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</row>
    <row r="1267" spans="13:48" x14ac:dyDescent="0.2">
      <c r="M1267" s="87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</row>
    <row r="1268" spans="13:48" x14ac:dyDescent="0.2">
      <c r="M1268" s="87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</row>
    <row r="1269" spans="13:48" x14ac:dyDescent="0.2">
      <c r="M1269" s="87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</row>
    <row r="1270" spans="13:48" x14ac:dyDescent="0.2">
      <c r="M1270" s="87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87"/>
      <c r="AV1270" s="87"/>
    </row>
    <row r="1271" spans="13:48" x14ac:dyDescent="0.2">
      <c r="M1271" s="87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</row>
    <row r="1272" spans="13:48" x14ac:dyDescent="0.2">
      <c r="M1272" s="87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87"/>
      <c r="AV1272" s="87"/>
    </row>
    <row r="1273" spans="13:48" x14ac:dyDescent="0.2">
      <c r="M1273" s="87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</row>
    <row r="1274" spans="13:48" x14ac:dyDescent="0.2">
      <c r="M1274" s="87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</row>
    <row r="1275" spans="13:48" x14ac:dyDescent="0.2">
      <c r="M1275" s="87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87"/>
      <c r="AV1275" s="87"/>
    </row>
    <row r="1276" spans="13:48" x14ac:dyDescent="0.2">
      <c r="M1276" s="87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</row>
    <row r="1277" spans="13:48" x14ac:dyDescent="0.2">
      <c r="M1277" s="87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</row>
    <row r="1278" spans="13:48" x14ac:dyDescent="0.2">
      <c r="M1278" s="87"/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</row>
    <row r="1279" spans="13:48" x14ac:dyDescent="0.2">
      <c r="M1279" s="87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</row>
    <row r="1280" spans="13:48" x14ac:dyDescent="0.2">
      <c r="M1280" s="87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87"/>
      <c r="AV1280" s="87"/>
    </row>
    <row r="1281" spans="13:48" x14ac:dyDescent="0.2">
      <c r="M1281" s="87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87"/>
      <c r="AV1281" s="87"/>
    </row>
    <row r="1282" spans="13:48" x14ac:dyDescent="0.2">
      <c r="M1282" s="87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87"/>
      <c r="AV1282" s="87"/>
    </row>
    <row r="1283" spans="13:48" x14ac:dyDescent="0.2">
      <c r="M1283" s="87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87"/>
      <c r="AV1283" s="87"/>
    </row>
    <row r="1284" spans="13:48" x14ac:dyDescent="0.2">
      <c r="M1284" s="87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87"/>
      <c r="AV1284" s="87"/>
    </row>
    <row r="1285" spans="13:48" x14ac:dyDescent="0.2">
      <c r="M1285" s="87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</row>
    <row r="1286" spans="13:48" x14ac:dyDescent="0.2">
      <c r="M1286" s="87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</row>
    <row r="1287" spans="13:48" x14ac:dyDescent="0.2">
      <c r="M1287" s="87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</row>
    <row r="1288" spans="13:48" x14ac:dyDescent="0.2">
      <c r="M1288" s="87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</row>
    <row r="1289" spans="13:48" x14ac:dyDescent="0.2">
      <c r="M1289" s="87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87"/>
      <c r="AV1289" s="87"/>
    </row>
    <row r="1290" spans="13:48" x14ac:dyDescent="0.2">
      <c r="M1290" s="87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</row>
    <row r="1291" spans="13:48" x14ac:dyDescent="0.2">
      <c r="M1291" s="87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</row>
    <row r="1292" spans="13:48" x14ac:dyDescent="0.2">
      <c r="M1292" s="87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</row>
    <row r="1293" spans="13:48" x14ac:dyDescent="0.2">
      <c r="M1293" s="87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</row>
    <row r="1294" spans="13:48" x14ac:dyDescent="0.2">
      <c r="M1294" s="87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87"/>
      <c r="AV1294" s="87"/>
    </row>
    <row r="1295" spans="13:48" x14ac:dyDescent="0.2">
      <c r="M1295" s="87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</row>
    <row r="1296" spans="13:48" x14ac:dyDescent="0.2">
      <c r="M1296" s="87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</row>
    <row r="1297" spans="13:48" x14ac:dyDescent="0.2">
      <c r="M1297" s="87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</row>
    <row r="1298" spans="13:48" x14ac:dyDescent="0.2">
      <c r="M1298" s="87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</row>
    <row r="1299" spans="13:48" x14ac:dyDescent="0.2">
      <c r="M1299" s="87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87"/>
      <c r="AV1299" s="87"/>
    </row>
    <row r="1300" spans="13:48" x14ac:dyDescent="0.2">
      <c r="M1300" s="87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</row>
    <row r="1301" spans="13:48" x14ac:dyDescent="0.2">
      <c r="M1301" s="87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87"/>
      <c r="AV1301" s="87"/>
    </row>
    <row r="1302" spans="13:48" x14ac:dyDescent="0.2">
      <c r="M1302" s="87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</row>
    <row r="1303" spans="13:48" x14ac:dyDescent="0.2">
      <c r="M1303" s="87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</row>
    <row r="1304" spans="13:48" x14ac:dyDescent="0.2">
      <c r="M1304" s="87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87"/>
      <c r="AV1304" s="87"/>
    </row>
    <row r="1305" spans="13:48" x14ac:dyDescent="0.2">
      <c r="M1305" s="87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87"/>
      <c r="AV1305" s="87"/>
    </row>
    <row r="1306" spans="13:48" x14ac:dyDescent="0.2">
      <c r="M1306" s="87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87"/>
      <c r="AV1306" s="87"/>
    </row>
    <row r="1307" spans="13:48" x14ac:dyDescent="0.2">
      <c r="M1307" s="87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</row>
    <row r="1308" spans="13:48" x14ac:dyDescent="0.2">
      <c r="M1308" s="87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</row>
    <row r="1309" spans="13:48" x14ac:dyDescent="0.2"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87"/>
      <c r="AV1309" s="87"/>
    </row>
    <row r="1310" spans="13:48" x14ac:dyDescent="0.2">
      <c r="M1310" s="87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</row>
    <row r="1311" spans="13:48" x14ac:dyDescent="0.2">
      <c r="M1311" s="87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</row>
    <row r="1312" spans="13:48" x14ac:dyDescent="0.2">
      <c r="M1312" s="87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</row>
    <row r="1313" spans="13:48" x14ac:dyDescent="0.2">
      <c r="M1313" s="87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87"/>
      <c r="AV1313" s="87"/>
    </row>
    <row r="1314" spans="13:48" x14ac:dyDescent="0.2"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</row>
    <row r="1315" spans="13:48" x14ac:dyDescent="0.2">
      <c r="M1315" s="87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87"/>
      <c r="AV1315" s="87"/>
    </row>
    <row r="1316" spans="13:48" x14ac:dyDescent="0.2">
      <c r="M1316" s="87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</row>
    <row r="1317" spans="13:48" x14ac:dyDescent="0.2">
      <c r="M1317" s="87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</row>
    <row r="1318" spans="13:48" x14ac:dyDescent="0.2">
      <c r="M1318" s="87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87"/>
      <c r="AV1318" s="87"/>
    </row>
    <row r="1319" spans="13:48" x14ac:dyDescent="0.2">
      <c r="M1319" s="87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</row>
    <row r="1320" spans="13:48" x14ac:dyDescent="0.2">
      <c r="M1320" s="87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87"/>
      <c r="AV1320" s="87"/>
    </row>
    <row r="1321" spans="13:48" x14ac:dyDescent="0.2">
      <c r="M1321" s="87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</row>
    <row r="1322" spans="13:48" x14ac:dyDescent="0.2">
      <c r="M1322" s="87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</row>
    <row r="1323" spans="13:48" x14ac:dyDescent="0.2">
      <c r="M1323" s="87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</row>
    <row r="1324" spans="13:48" x14ac:dyDescent="0.2">
      <c r="M1324" s="87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</row>
    <row r="1325" spans="13:48" x14ac:dyDescent="0.2">
      <c r="M1325" s="87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</row>
    <row r="1326" spans="13:48" x14ac:dyDescent="0.2">
      <c r="M1326" s="87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87"/>
      <c r="AV1326" s="87"/>
    </row>
    <row r="1327" spans="13:48" x14ac:dyDescent="0.2">
      <c r="M1327" s="87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</row>
    <row r="1328" spans="13:48" x14ac:dyDescent="0.2"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/>
      <c r="AV1328" s="87"/>
    </row>
    <row r="1329" spans="13:48" x14ac:dyDescent="0.2"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/>
      <c r="AV1329" s="87"/>
    </row>
    <row r="1330" spans="13:48" x14ac:dyDescent="0.2">
      <c r="M1330" s="87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87"/>
      <c r="AV1330" s="87"/>
    </row>
    <row r="1331" spans="13:48" x14ac:dyDescent="0.2">
      <c r="M1331" s="87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</row>
    <row r="1332" spans="13:48" x14ac:dyDescent="0.2">
      <c r="M1332" s="87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87"/>
      <c r="AV1332" s="87"/>
    </row>
    <row r="1333" spans="13:48" x14ac:dyDescent="0.2">
      <c r="M1333" s="87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</row>
    <row r="1334" spans="13:48" x14ac:dyDescent="0.2">
      <c r="M1334" s="87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87"/>
      <c r="AV1334" s="87"/>
    </row>
    <row r="1335" spans="13:48" x14ac:dyDescent="0.2">
      <c r="M1335" s="87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</row>
    <row r="1336" spans="13:48" x14ac:dyDescent="0.2"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87"/>
      <c r="AV1336" s="87"/>
    </row>
    <row r="1337" spans="13:48" x14ac:dyDescent="0.2">
      <c r="M1337" s="87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</row>
    <row r="1338" spans="13:48" x14ac:dyDescent="0.2">
      <c r="M1338" s="87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87"/>
      <c r="AV1338" s="87"/>
    </row>
    <row r="1339" spans="13:48" x14ac:dyDescent="0.2">
      <c r="M1339" s="87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</row>
    <row r="1340" spans="13:48" x14ac:dyDescent="0.2">
      <c r="M1340" s="87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87"/>
      <c r="AV1340" s="87"/>
    </row>
    <row r="1341" spans="13:48" x14ac:dyDescent="0.2">
      <c r="M1341" s="87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87"/>
      <c r="AV1341" s="87"/>
    </row>
    <row r="1342" spans="13:48" x14ac:dyDescent="0.2">
      <c r="M1342" s="87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</row>
    <row r="1343" spans="13:48" x14ac:dyDescent="0.2">
      <c r="M1343" s="87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87"/>
      <c r="AV1343" s="87"/>
    </row>
    <row r="1344" spans="13:48" x14ac:dyDescent="0.2">
      <c r="M1344" s="87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87"/>
      <c r="AV1344" s="87"/>
    </row>
    <row r="1345" spans="13:48" x14ac:dyDescent="0.2">
      <c r="M1345" s="87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87"/>
      <c r="AV1345" s="87"/>
    </row>
    <row r="1346" spans="13:48" x14ac:dyDescent="0.2">
      <c r="M1346" s="87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87"/>
      <c r="AV1346" s="87"/>
    </row>
    <row r="1347" spans="13:48" x14ac:dyDescent="0.2">
      <c r="M1347" s="87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87"/>
      <c r="AV1347" s="87"/>
    </row>
    <row r="1348" spans="13:48" x14ac:dyDescent="0.2">
      <c r="M1348" s="87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</row>
    <row r="1349" spans="13:48" x14ac:dyDescent="0.2">
      <c r="M1349" s="87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</row>
    <row r="1350" spans="13:48" x14ac:dyDescent="0.2">
      <c r="M1350" s="87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87"/>
      <c r="AV1350" s="87"/>
    </row>
    <row r="1351" spans="13:48" x14ac:dyDescent="0.2">
      <c r="M1351" s="87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87"/>
      <c r="AV1351" s="87"/>
    </row>
    <row r="1352" spans="13:48" x14ac:dyDescent="0.2">
      <c r="M1352" s="87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</row>
    <row r="1353" spans="13:48" x14ac:dyDescent="0.2">
      <c r="M1353" s="87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</row>
    <row r="1354" spans="13:48" x14ac:dyDescent="0.2"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</row>
    <row r="1355" spans="13:48" x14ac:dyDescent="0.2">
      <c r="M1355" s="87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</row>
    <row r="1356" spans="13:48" x14ac:dyDescent="0.2">
      <c r="M1356" s="87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/>
      <c r="AV1356" s="87"/>
    </row>
    <row r="1357" spans="13:48" x14ac:dyDescent="0.2">
      <c r="M1357" s="87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</row>
    <row r="1358" spans="13:48" x14ac:dyDescent="0.2">
      <c r="M1358" s="87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87"/>
      <c r="AV1358" s="87"/>
    </row>
    <row r="1359" spans="13:48" x14ac:dyDescent="0.2">
      <c r="M1359" s="87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87"/>
      <c r="AV1359" s="87"/>
    </row>
    <row r="1360" spans="13:48" x14ac:dyDescent="0.2">
      <c r="M1360" s="87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87"/>
      <c r="AV1360" s="87"/>
    </row>
    <row r="1361" spans="13:48" x14ac:dyDescent="0.2">
      <c r="M1361" s="87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87"/>
      <c r="AV1361" s="87"/>
    </row>
    <row r="1362" spans="13:48" x14ac:dyDescent="0.2">
      <c r="M1362" s="87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87"/>
      <c r="AV1362" s="87"/>
    </row>
    <row r="1363" spans="13:48" x14ac:dyDescent="0.2">
      <c r="M1363" s="87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</row>
    <row r="1364" spans="13:48" x14ac:dyDescent="0.2">
      <c r="M1364" s="87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87"/>
      <c r="AV1364" s="87"/>
    </row>
    <row r="1365" spans="13:48" x14ac:dyDescent="0.2">
      <c r="M1365" s="87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87"/>
      <c r="AV1365" s="87"/>
    </row>
    <row r="1366" spans="13:48" x14ac:dyDescent="0.2">
      <c r="M1366" s="87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87"/>
      <c r="AV1366" s="87"/>
    </row>
    <row r="1367" spans="13:48" x14ac:dyDescent="0.2">
      <c r="M1367" s="87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87"/>
      <c r="AV1367" s="87"/>
    </row>
    <row r="1368" spans="13:48" x14ac:dyDescent="0.2">
      <c r="M1368" s="87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87"/>
      <c r="AV1368" s="87"/>
    </row>
    <row r="1369" spans="13:48" x14ac:dyDescent="0.2">
      <c r="M1369" s="87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</row>
    <row r="1370" spans="13:48" x14ac:dyDescent="0.2">
      <c r="M1370" s="87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87"/>
      <c r="AV1370" s="87"/>
    </row>
    <row r="1371" spans="13:48" x14ac:dyDescent="0.2">
      <c r="M1371" s="87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87"/>
      <c r="AV1371" s="87"/>
    </row>
    <row r="1372" spans="13:48" x14ac:dyDescent="0.2">
      <c r="M1372" s="87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87"/>
      <c r="AV1372" s="87"/>
    </row>
    <row r="1373" spans="13:48" x14ac:dyDescent="0.2">
      <c r="M1373" s="87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87"/>
      <c r="AV1373" s="87"/>
    </row>
    <row r="1374" spans="13:48" x14ac:dyDescent="0.2">
      <c r="M1374" s="87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</row>
    <row r="1375" spans="13:48" x14ac:dyDescent="0.2">
      <c r="M1375" s="87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</row>
    <row r="1376" spans="13:48" x14ac:dyDescent="0.2">
      <c r="M1376" s="87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87"/>
      <c r="AV1376" s="87"/>
    </row>
    <row r="1377" spans="13:48" x14ac:dyDescent="0.2">
      <c r="M1377" s="87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</row>
    <row r="1378" spans="13:48" x14ac:dyDescent="0.2">
      <c r="M1378" s="87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</row>
    <row r="1379" spans="13:48" x14ac:dyDescent="0.2">
      <c r="M1379" s="87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</row>
    <row r="1380" spans="13:48" x14ac:dyDescent="0.2">
      <c r="M1380" s="87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87"/>
      <c r="AV1380" s="87"/>
    </row>
    <row r="1381" spans="13:48" x14ac:dyDescent="0.2">
      <c r="M1381" s="87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</row>
    <row r="1382" spans="13:48" x14ac:dyDescent="0.2">
      <c r="M1382" s="87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87"/>
      <c r="AV1382" s="87"/>
    </row>
    <row r="1383" spans="13:48" x14ac:dyDescent="0.2">
      <c r="M1383" s="87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87"/>
      <c r="AV1383" s="87"/>
    </row>
    <row r="1384" spans="13:48" x14ac:dyDescent="0.2">
      <c r="M1384" s="87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87"/>
      <c r="AV1384" s="87"/>
    </row>
    <row r="1385" spans="13:48" x14ac:dyDescent="0.2">
      <c r="M1385" s="87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87"/>
      <c r="AV1385" s="87"/>
    </row>
    <row r="1386" spans="13:48" x14ac:dyDescent="0.2">
      <c r="M1386" s="87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</row>
    <row r="1387" spans="13:48" x14ac:dyDescent="0.2">
      <c r="M1387" s="87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</row>
    <row r="1388" spans="13:48" x14ac:dyDescent="0.2">
      <c r="M1388" s="87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</row>
    <row r="1389" spans="13:48" x14ac:dyDescent="0.2">
      <c r="M1389" s="87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</row>
    <row r="1390" spans="13:48" x14ac:dyDescent="0.2">
      <c r="M1390" s="87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87"/>
      <c r="AV1390" s="87"/>
    </row>
    <row r="1391" spans="13:48" x14ac:dyDescent="0.2">
      <c r="M1391" s="87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87"/>
      <c r="AV1391" s="87"/>
    </row>
    <row r="1392" spans="13:48" x14ac:dyDescent="0.2">
      <c r="M1392" s="87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87"/>
      <c r="AV1392" s="87"/>
    </row>
    <row r="1393" spans="13:48" x14ac:dyDescent="0.2">
      <c r="M1393" s="87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</row>
    <row r="1394" spans="13:48" x14ac:dyDescent="0.2">
      <c r="M1394" s="87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</row>
    <row r="1395" spans="13:48" x14ac:dyDescent="0.2">
      <c r="M1395" s="87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</row>
    <row r="1396" spans="13:48" x14ac:dyDescent="0.2">
      <c r="M1396" s="87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</row>
    <row r="1397" spans="13:48" x14ac:dyDescent="0.2">
      <c r="M1397" s="87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87"/>
      <c r="AV1397" s="87"/>
    </row>
    <row r="1398" spans="13:48" x14ac:dyDescent="0.2">
      <c r="M1398" s="87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</row>
    <row r="1399" spans="13:48" x14ac:dyDescent="0.2"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87"/>
      <c r="AV1399" s="87"/>
    </row>
    <row r="1400" spans="13:48" x14ac:dyDescent="0.2">
      <c r="M1400" s="87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</row>
    <row r="1401" spans="13:48" x14ac:dyDescent="0.2">
      <c r="M1401" s="87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</row>
    <row r="1402" spans="13:48" x14ac:dyDescent="0.2">
      <c r="M1402" s="87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</row>
    <row r="1403" spans="13:48" x14ac:dyDescent="0.2">
      <c r="M1403" s="87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</row>
    <row r="1404" spans="13:48" x14ac:dyDescent="0.2">
      <c r="M1404" s="87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</row>
    <row r="1405" spans="13:48" x14ac:dyDescent="0.2">
      <c r="M1405" s="87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</row>
    <row r="1406" spans="13:48" x14ac:dyDescent="0.2">
      <c r="M1406" s="87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</row>
    <row r="1407" spans="13:48" x14ac:dyDescent="0.2">
      <c r="M1407" s="87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</row>
    <row r="1408" spans="13:48" x14ac:dyDescent="0.2">
      <c r="M1408" s="87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87"/>
      <c r="AV1408" s="87"/>
    </row>
    <row r="1409" spans="13:48" x14ac:dyDescent="0.2">
      <c r="M1409" s="87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</row>
    <row r="1410" spans="13:48" x14ac:dyDescent="0.2">
      <c r="M1410" s="87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87"/>
      <c r="AV1410" s="87"/>
    </row>
    <row r="1411" spans="13:48" x14ac:dyDescent="0.2">
      <c r="M1411" s="87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</row>
    <row r="1412" spans="13:48" x14ac:dyDescent="0.2">
      <c r="M1412" s="87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87"/>
      <c r="AV1412" s="87"/>
    </row>
    <row r="1413" spans="13:48" x14ac:dyDescent="0.2">
      <c r="M1413" s="87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</row>
    <row r="1414" spans="13:48" x14ac:dyDescent="0.2">
      <c r="M1414" s="87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87"/>
      <c r="AV1414" s="87"/>
    </row>
    <row r="1415" spans="13:48" x14ac:dyDescent="0.2">
      <c r="M1415" s="87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87"/>
      <c r="AV1415" s="87"/>
    </row>
    <row r="1416" spans="13:48" x14ac:dyDescent="0.2">
      <c r="M1416" s="87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</row>
    <row r="1417" spans="13:48" x14ac:dyDescent="0.2"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</row>
    <row r="1418" spans="13:48" x14ac:dyDescent="0.2"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87"/>
      <c r="AV1418" s="87"/>
    </row>
    <row r="1419" spans="13:48" x14ac:dyDescent="0.2"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87"/>
      <c r="AV1419" s="87"/>
    </row>
    <row r="1420" spans="13:48" x14ac:dyDescent="0.2"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87"/>
      <c r="AV1420" s="87"/>
    </row>
    <row r="1421" spans="13:48" x14ac:dyDescent="0.2"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</row>
    <row r="1422" spans="13:48" x14ac:dyDescent="0.2"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87"/>
      <c r="AV1422" s="87"/>
    </row>
    <row r="1423" spans="13:48" x14ac:dyDescent="0.2"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</row>
    <row r="1424" spans="13:48" x14ac:dyDescent="0.2"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</row>
    <row r="1425" spans="13:48" x14ac:dyDescent="0.2"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</row>
    <row r="1426" spans="13:48" x14ac:dyDescent="0.2"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</row>
    <row r="1427" spans="13:48" x14ac:dyDescent="0.2"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87"/>
      <c r="AV1427" s="87"/>
    </row>
    <row r="1428" spans="13:48" x14ac:dyDescent="0.2"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87"/>
      <c r="AV1428" s="87"/>
    </row>
    <row r="1429" spans="13:48" x14ac:dyDescent="0.2"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</row>
    <row r="1430" spans="13:48" x14ac:dyDescent="0.2"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87"/>
      <c r="AV1430" s="87"/>
    </row>
    <row r="1431" spans="13:48" x14ac:dyDescent="0.2"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</row>
    <row r="1432" spans="13:48" x14ac:dyDescent="0.2"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</row>
    <row r="1433" spans="13:48" x14ac:dyDescent="0.2"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</row>
    <row r="1434" spans="13:48" x14ac:dyDescent="0.2"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</row>
    <row r="1435" spans="13:48" x14ac:dyDescent="0.2"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87"/>
      <c r="AV1435" s="87"/>
    </row>
    <row r="1436" spans="13:48" x14ac:dyDescent="0.2"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</row>
    <row r="1437" spans="13:48" x14ac:dyDescent="0.2"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87"/>
      <c r="AV1437" s="87"/>
    </row>
    <row r="1438" spans="13:48" x14ac:dyDescent="0.2"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87"/>
      <c r="AV1438" s="87"/>
    </row>
    <row r="1439" spans="13:48" x14ac:dyDescent="0.2"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87"/>
      <c r="AV1439" s="87"/>
    </row>
    <row r="1440" spans="13:48" x14ac:dyDescent="0.2"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</row>
    <row r="1441" spans="13:48" x14ac:dyDescent="0.2"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</row>
    <row r="1442" spans="13:48" x14ac:dyDescent="0.2"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87"/>
      <c r="AV1442" s="87"/>
    </row>
    <row r="1443" spans="13:48" x14ac:dyDescent="0.2"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</row>
    <row r="1444" spans="13:48" x14ac:dyDescent="0.2"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</row>
    <row r="1445" spans="13:48" x14ac:dyDescent="0.2"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</row>
    <row r="1446" spans="13:48" x14ac:dyDescent="0.2"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87"/>
      <c r="AV1446" s="87"/>
    </row>
    <row r="1447" spans="13:48" x14ac:dyDescent="0.2"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87"/>
      <c r="AV1447" s="87"/>
    </row>
    <row r="1448" spans="13:48" x14ac:dyDescent="0.2"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</row>
    <row r="1449" spans="13:48" x14ac:dyDescent="0.2"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</row>
    <row r="1450" spans="13:48" x14ac:dyDescent="0.2"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</row>
    <row r="1451" spans="13:48" x14ac:dyDescent="0.2"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</row>
    <row r="1452" spans="13:48" x14ac:dyDescent="0.2"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87"/>
      <c r="AV1452" s="87"/>
    </row>
    <row r="1453" spans="13:48" x14ac:dyDescent="0.2"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</row>
    <row r="1454" spans="13:48" x14ac:dyDescent="0.2"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</row>
    <row r="1455" spans="13:48" x14ac:dyDescent="0.2"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87"/>
      <c r="AV1455" s="87"/>
    </row>
    <row r="1456" spans="13:48" x14ac:dyDescent="0.2"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</row>
    <row r="1457" spans="13:48" x14ac:dyDescent="0.2"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87"/>
      <c r="AV1457" s="87"/>
    </row>
    <row r="1458" spans="13:48" x14ac:dyDescent="0.2"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</row>
    <row r="1459" spans="13:48" x14ac:dyDescent="0.2"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</row>
    <row r="1460" spans="13:48" x14ac:dyDescent="0.2"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87"/>
      <c r="AV1460" s="87"/>
    </row>
    <row r="1461" spans="13:48" x14ac:dyDescent="0.2"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87"/>
      <c r="AV1461" s="87"/>
    </row>
    <row r="1462" spans="13:48" x14ac:dyDescent="0.2"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87"/>
      <c r="AV1462" s="87"/>
    </row>
  </sheetData>
  <mergeCells count="50">
    <mergeCell ref="A1:C3"/>
    <mergeCell ref="D1:I3"/>
    <mergeCell ref="AP2:AV2"/>
    <mergeCell ref="T4:U4"/>
    <mergeCell ref="V4:W4"/>
    <mergeCell ref="X4:Y4"/>
    <mergeCell ref="AI4:AJ4"/>
    <mergeCell ref="M2:R2"/>
    <mergeCell ref="S2:Z2"/>
    <mergeCell ref="AA2:AG2"/>
    <mergeCell ref="AH2:AO2"/>
    <mergeCell ref="L1:L3"/>
    <mergeCell ref="AM18:AN18"/>
    <mergeCell ref="AP18:AQ18"/>
    <mergeCell ref="AE31:AI31"/>
    <mergeCell ref="Q39:AC39"/>
    <mergeCell ref="AG39:AS39"/>
    <mergeCell ref="M18:S18"/>
    <mergeCell ref="T18:Z18"/>
    <mergeCell ref="AA18:AG18"/>
    <mergeCell ref="AB31:AC31"/>
    <mergeCell ref="M31:S31"/>
    <mergeCell ref="T31:Z31"/>
    <mergeCell ref="M40:O40"/>
    <mergeCell ref="R40:S40"/>
    <mergeCell ref="T40:U40"/>
    <mergeCell ref="V40:W40"/>
    <mergeCell ref="X40:Y40"/>
    <mergeCell ref="AN40:AO40"/>
    <mergeCell ref="AP40:AQ40"/>
    <mergeCell ref="AR40:AS40"/>
    <mergeCell ref="Q55:AC55"/>
    <mergeCell ref="R56:S56"/>
    <mergeCell ref="T56:U56"/>
    <mergeCell ref="V56:W56"/>
    <mergeCell ref="X56:Y56"/>
    <mergeCell ref="Z56:AA56"/>
    <mergeCell ref="AB56:AC56"/>
    <mergeCell ref="AR56:AS56"/>
    <mergeCell ref="Z40:AA40"/>
    <mergeCell ref="AB40:AC40"/>
    <mergeCell ref="AH40:AI40"/>
    <mergeCell ref="AJ40:AK40"/>
    <mergeCell ref="AL40:AM40"/>
    <mergeCell ref="AT56:AU56"/>
    <mergeCell ref="AH56:AI56"/>
    <mergeCell ref="AJ56:AK56"/>
    <mergeCell ref="AL56:AM56"/>
    <mergeCell ref="AN56:AO56"/>
    <mergeCell ref="AP56:AQ56"/>
  </mergeCells>
  <dataValidations count="3">
    <dataValidation type="list" allowBlank="1" showInputMessage="1" showErrorMessage="1" sqref="L15">
      <formula1>INDIRECT(K16)</formula1>
    </dataValidation>
    <dataValidation type="list" allowBlank="1" showInputMessage="1" showErrorMessage="1" sqref="J8:J589">
      <formula1>Usuario</formula1>
    </dataValidation>
    <dataValidation type="list" allowBlank="1" showInputMessage="1" showErrorMessage="1" sqref="K8:K191">
      <formula1>INDIRECT(J8)</formula1>
    </dataValidation>
  </dataValidations>
  <pageMargins left="0.7" right="0.7" top="0.75" bottom="0.75" header="0.3" footer="0.3"/>
  <pageSetup paperSize="25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A1:BK1484"/>
  <sheetViews>
    <sheetView topLeftCell="J1" zoomScaleNormal="100" workbookViewId="0">
      <selection activeCell="J1" sqref="J1:L3"/>
    </sheetView>
  </sheetViews>
  <sheetFormatPr baseColWidth="10" defaultColWidth="11.5703125" defaultRowHeight="12.75" x14ac:dyDescent="0.2"/>
  <cols>
    <col min="1" max="1" width="9.42578125" style="120" customWidth="1"/>
    <col min="2" max="2" width="11.42578125" style="50" customWidth="1"/>
    <col min="3" max="3" width="47.5703125" style="26" customWidth="1"/>
    <col min="4" max="4" width="14.28515625" style="55" customWidth="1"/>
    <col min="5" max="5" width="10.7109375" style="50" customWidth="1"/>
    <col min="6" max="6" width="9.140625" style="50" customWidth="1"/>
    <col min="7" max="7" width="7.140625" style="50" customWidth="1"/>
    <col min="8" max="8" width="8.42578125" style="88" customWidth="1"/>
    <col min="9" max="9" width="11.42578125" style="50" customWidth="1"/>
    <col min="10" max="10" width="33.5703125" style="50" customWidth="1"/>
    <col min="11" max="11" width="37.140625" style="50" customWidth="1"/>
    <col min="12" max="12" width="79.140625" style="120" customWidth="1"/>
    <col min="13" max="13" width="12" style="88" bestFit="1" customWidth="1"/>
    <col min="14" max="14" width="12.7109375" style="88" bestFit="1" customWidth="1"/>
    <col min="15" max="15" width="13.7109375" style="88" customWidth="1"/>
    <col min="16" max="16" width="10" style="120" bestFit="1" customWidth="1"/>
    <col min="17" max="17" width="19.5703125" style="88" bestFit="1" customWidth="1"/>
    <col min="18" max="18" width="10.5703125" style="120" bestFit="1" customWidth="1"/>
    <col min="19" max="19" width="14" style="120" customWidth="1"/>
    <col min="20" max="20" width="8.28515625" style="120" customWidth="1"/>
    <col min="21" max="21" width="10" style="120" bestFit="1" customWidth="1"/>
    <col min="22" max="22" width="6" style="120" bestFit="1" customWidth="1"/>
    <col min="23" max="23" width="8.85546875" style="120" customWidth="1"/>
    <col min="24" max="24" width="6" style="120" bestFit="1" customWidth="1"/>
    <col min="25" max="25" width="15.5703125" style="120" bestFit="1" customWidth="1"/>
    <col min="26" max="26" width="10" style="120" bestFit="1" customWidth="1"/>
    <col min="27" max="27" width="6.5703125" bestFit="1" customWidth="1"/>
    <col min="28" max="28" width="8.5703125" style="88" bestFit="1" customWidth="1"/>
    <col min="29" max="29" width="17.42578125" style="88" customWidth="1"/>
    <col min="30" max="30" width="12.42578125" style="88" bestFit="1" customWidth="1"/>
    <col min="31" max="31" width="8.7109375" style="88" customWidth="1"/>
    <col min="32" max="32" width="10" style="88" bestFit="1" customWidth="1"/>
    <col min="33" max="33" width="12.42578125" style="88" bestFit="1" customWidth="1"/>
    <col min="34" max="34" width="12" style="88" bestFit="1" customWidth="1"/>
    <col min="35" max="35" width="16.85546875" style="88" customWidth="1"/>
    <col min="36" max="36" width="10.7109375" style="88" customWidth="1"/>
    <col min="37" max="37" width="6" style="88" bestFit="1" customWidth="1"/>
    <col min="38" max="38" width="12.7109375" style="88" customWidth="1"/>
    <col min="39" max="39" width="21" style="88" bestFit="1" customWidth="1"/>
    <col min="40" max="40" width="11.28515625" style="88" customWidth="1"/>
    <col min="41" max="41" width="8.5703125" style="88" bestFit="1" customWidth="1"/>
    <col min="42" max="42" width="20.7109375" style="120" bestFit="1" customWidth="1"/>
    <col min="43" max="43" width="12.7109375" style="120" customWidth="1"/>
    <col min="44" max="44" width="6.140625" style="120" bestFit="1" customWidth="1"/>
    <col min="45" max="45" width="11.28515625" style="120" bestFit="1" customWidth="1"/>
    <col min="46" max="46" width="8.5703125" style="120" customWidth="1"/>
    <col min="47" max="48" width="10" style="120" bestFit="1" customWidth="1"/>
    <col min="49" max="49" width="13.7109375" style="88" bestFit="1" customWidth="1"/>
    <col min="50" max="50" width="9.42578125" style="88" bestFit="1" customWidth="1"/>
    <col min="51" max="51" width="10.5703125" style="88" bestFit="1" customWidth="1"/>
    <col min="52" max="52" width="4.42578125" style="87" customWidth="1"/>
    <col min="53" max="53" width="4.140625" style="87" customWidth="1"/>
    <col min="54" max="54" width="11.5703125" style="26"/>
    <col min="55" max="55" width="4.42578125" style="87" customWidth="1"/>
    <col min="56" max="56" width="4.28515625" style="87" customWidth="1"/>
    <col min="57" max="57" width="11.5703125" style="26"/>
    <col min="58" max="58" width="5.28515625" style="87" customWidth="1"/>
    <col min="59" max="59" width="5.42578125" style="87" customWidth="1"/>
    <col min="60" max="60" width="15.140625" style="26" customWidth="1"/>
    <col min="61" max="61" width="4.7109375" style="87" customWidth="1"/>
    <col min="62" max="62" width="5.7109375" style="87" customWidth="1"/>
    <col min="63" max="63" width="27" style="26" customWidth="1"/>
    <col min="64" max="16384" width="11.5703125" style="26"/>
  </cols>
  <sheetData>
    <row r="1" spans="1:63" ht="13.5" customHeight="1" thickBot="1" x14ac:dyDescent="0.25">
      <c r="A1" s="663"/>
      <c r="B1" s="663"/>
      <c r="C1" s="663"/>
      <c r="D1" s="662" t="s">
        <v>238</v>
      </c>
      <c r="E1" s="662"/>
      <c r="F1" s="662"/>
      <c r="G1" s="662"/>
      <c r="H1" s="662"/>
      <c r="I1" s="662"/>
      <c r="J1" s="639" t="s">
        <v>239</v>
      </c>
      <c r="K1" s="640" t="s">
        <v>242</v>
      </c>
      <c r="L1" s="644" t="s">
        <v>235</v>
      </c>
      <c r="BK1" s="88"/>
    </row>
    <row r="2" spans="1:63" s="8" customFormat="1" ht="13.5" customHeight="1" thickBot="1" x14ac:dyDescent="0.25">
      <c r="A2" s="663"/>
      <c r="B2" s="663"/>
      <c r="C2" s="663"/>
      <c r="D2" s="662"/>
      <c r="E2" s="662"/>
      <c r="F2" s="662"/>
      <c r="G2" s="662"/>
      <c r="H2" s="662"/>
      <c r="I2" s="662"/>
      <c r="J2" s="638" t="s">
        <v>240</v>
      </c>
      <c r="K2" s="641">
        <v>1</v>
      </c>
      <c r="L2" s="644"/>
      <c r="M2" s="659" t="s">
        <v>26</v>
      </c>
      <c r="N2" s="660"/>
      <c r="O2" s="660"/>
      <c r="P2" s="660"/>
      <c r="Q2" s="660"/>
      <c r="R2" s="661"/>
      <c r="S2" s="659" t="s">
        <v>29</v>
      </c>
      <c r="T2" s="660"/>
      <c r="U2" s="660"/>
      <c r="V2" s="660"/>
      <c r="W2" s="660"/>
      <c r="X2" s="660"/>
      <c r="Y2" s="660"/>
      <c r="Z2" s="661"/>
      <c r="AA2" s="669" t="s">
        <v>13</v>
      </c>
      <c r="AB2" s="670"/>
      <c r="AC2" s="670"/>
      <c r="AD2" s="670"/>
      <c r="AE2" s="670"/>
      <c r="AF2" s="670"/>
      <c r="AG2" s="671"/>
      <c r="AH2" s="659" t="s">
        <v>24</v>
      </c>
      <c r="AI2" s="660"/>
      <c r="AJ2" s="660"/>
      <c r="AK2" s="660"/>
      <c r="AL2" s="660"/>
      <c r="AM2" s="660"/>
      <c r="AN2" s="660"/>
      <c r="AO2" s="661"/>
      <c r="AP2" s="659" t="s">
        <v>42</v>
      </c>
      <c r="AQ2" s="660"/>
      <c r="AR2" s="660"/>
      <c r="AS2" s="660"/>
      <c r="AT2" s="660"/>
      <c r="AU2" s="660"/>
      <c r="AV2" s="661"/>
      <c r="AW2" s="47"/>
      <c r="AX2" s="47"/>
      <c r="AY2" s="47"/>
    </row>
    <row r="3" spans="1:63" ht="22.5" customHeight="1" thickBot="1" x14ac:dyDescent="0.25">
      <c r="A3" s="663"/>
      <c r="B3" s="663"/>
      <c r="C3" s="663"/>
      <c r="D3" s="662"/>
      <c r="E3" s="662"/>
      <c r="F3" s="662"/>
      <c r="G3" s="662"/>
      <c r="H3" s="662"/>
      <c r="I3" s="662"/>
      <c r="J3" s="642" t="s">
        <v>241</v>
      </c>
      <c r="K3" s="643"/>
      <c r="L3" s="644"/>
      <c r="M3" s="124"/>
      <c r="N3" s="207">
        <v>70500</v>
      </c>
      <c r="O3" s="207">
        <v>70500</v>
      </c>
      <c r="P3" s="207"/>
      <c r="Q3" s="207">
        <v>83800</v>
      </c>
      <c r="R3" s="125"/>
      <c r="S3" s="134"/>
      <c r="T3" s="131">
        <v>70500</v>
      </c>
      <c r="U3" s="131"/>
      <c r="V3" s="131">
        <v>35500</v>
      </c>
      <c r="W3" s="131"/>
      <c r="X3" s="131">
        <v>41900</v>
      </c>
      <c r="Y3" s="131"/>
      <c r="Z3" s="123"/>
      <c r="AA3" s="145"/>
      <c r="AB3" s="154">
        <v>63400</v>
      </c>
      <c r="AC3" s="154">
        <v>63400</v>
      </c>
      <c r="AD3" s="154"/>
      <c r="AE3" s="154">
        <v>75400</v>
      </c>
      <c r="AF3" s="67"/>
      <c r="AG3" s="125"/>
      <c r="AH3" s="124"/>
      <c r="AI3" s="132">
        <v>70500</v>
      </c>
      <c r="AJ3" s="132"/>
      <c r="AK3" s="132">
        <v>42300</v>
      </c>
      <c r="AL3" s="162"/>
      <c r="AM3" s="132">
        <v>50400</v>
      </c>
      <c r="AN3" s="132"/>
      <c r="AO3" s="125"/>
      <c r="AP3" s="124"/>
      <c r="AQ3" s="132">
        <v>56400</v>
      </c>
      <c r="AR3" s="132">
        <v>56400</v>
      </c>
      <c r="AS3" s="132"/>
      <c r="AT3" s="132">
        <v>67000</v>
      </c>
      <c r="AU3" s="171"/>
      <c r="AV3" s="125"/>
    </row>
    <row r="4" spans="1:63" s="8" customFormat="1" x14ac:dyDescent="0.2">
      <c r="A4" s="47"/>
      <c r="B4" s="47"/>
      <c r="C4" s="106"/>
      <c r="D4" s="70"/>
      <c r="E4" s="47"/>
      <c r="F4" s="47"/>
      <c r="G4" s="47"/>
      <c r="H4" s="47"/>
      <c r="I4" s="47"/>
      <c r="J4" s="47"/>
      <c r="K4" s="47"/>
      <c r="L4" s="47"/>
      <c r="M4" s="126" t="s">
        <v>22</v>
      </c>
      <c r="N4" s="127" t="s">
        <v>30</v>
      </c>
      <c r="O4" s="127" t="s">
        <v>25</v>
      </c>
      <c r="P4" s="127"/>
      <c r="Q4" s="127" t="s">
        <v>23</v>
      </c>
      <c r="R4" s="128"/>
      <c r="S4" s="135" t="s">
        <v>22</v>
      </c>
      <c r="T4" s="658" t="s">
        <v>16</v>
      </c>
      <c r="U4" s="658"/>
      <c r="V4" s="658" t="s">
        <v>17</v>
      </c>
      <c r="W4" s="658"/>
      <c r="X4" s="658" t="s">
        <v>15</v>
      </c>
      <c r="Y4" s="658"/>
      <c r="Z4" s="125"/>
      <c r="AA4" s="145" t="s">
        <v>5</v>
      </c>
      <c r="AB4" s="146" t="s">
        <v>16</v>
      </c>
      <c r="AC4" s="146" t="s">
        <v>17</v>
      </c>
      <c r="AD4" s="147"/>
      <c r="AE4" s="63" t="s">
        <v>15</v>
      </c>
      <c r="AF4" s="63"/>
      <c r="AG4" s="148" t="s">
        <v>35</v>
      </c>
      <c r="AH4" s="163" t="s">
        <v>22</v>
      </c>
      <c r="AI4" s="63" t="s">
        <v>37</v>
      </c>
      <c r="AJ4" s="63"/>
      <c r="AK4" s="63" t="s">
        <v>39</v>
      </c>
      <c r="AL4" s="63"/>
      <c r="AM4" s="147" t="s">
        <v>40</v>
      </c>
      <c r="AN4" s="147"/>
      <c r="AO4" s="148" t="s">
        <v>28</v>
      </c>
      <c r="AP4" s="126" t="s">
        <v>22</v>
      </c>
      <c r="AQ4" s="127" t="s">
        <v>16</v>
      </c>
      <c r="AR4" s="127" t="s">
        <v>17</v>
      </c>
      <c r="AS4" s="127"/>
      <c r="AT4" s="127" t="s">
        <v>15</v>
      </c>
      <c r="AU4" s="171"/>
      <c r="AV4" s="148" t="s">
        <v>28</v>
      </c>
      <c r="AW4" s="89"/>
      <c r="AX4" s="89"/>
    </row>
    <row r="5" spans="1:63" x14ac:dyDescent="0.2">
      <c r="C5" s="104"/>
      <c r="M5" s="124">
        <v>1</v>
      </c>
      <c r="N5" s="207">
        <f>+COUNTIFS($J:$J,"UCM",$G:$G,"1",$I:$I,"mañana")</f>
        <v>0</v>
      </c>
      <c r="O5" s="207">
        <f>+COUNTIFS($J:$J,"UCM",$G:$G,"1",$I:$I,"tarde")</f>
        <v>0</v>
      </c>
      <c r="P5" s="138">
        <f>+(N5+O5)*$O$3*M5</f>
        <v>0</v>
      </c>
      <c r="Q5" s="207">
        <f>+COUNTIFS($J:$J,"UCM",$G:$G,"1",$I:$I,"NOCHE")</f>
        <v>0</v>
      </c>
      <c r="R5" s="139">
        <f>+Q5*$Q$3*M5</f>
        <v>0</v>
      </c>
      <c r="S5" s="124">
        <v>1</v>
      </c>
      <c r="T5" s="67">
        <f>+COUNTIFS($J:$J,"ESTUDIANTE_UCM",$G:$G,"1",$I:$I,"MAÑANA")</f>
        <v>0</v>
      </c>
      <c r="U5" s="138">
        <f>+T5*$T$3*S5</f>
        <v>0</v>
      </c>
      <c r="V5" s="67">
        <f>+COUNTIFS($J:$J,"ESTUDIANTE_UCM",$G:$G,"1",$I:$I,"TARDE")</f>
        <v>0</v>
      </c>
      <c r="W5" s="138">
        <f>+$V$3*V5*S5</f>
        <v>0</v>
      </c>
      <c r="X5" s="67">
        <f>+COUNTIFS($J:$J,"ESTUDIANTE_UCM",$G:$G,"1",$I:$I,"NOCHE")</f>
        <v>0</v>
      </c>
      <c r="Y5" s="138">
        <f>+X5*$X$3*S5</f>
        <v>0</v>
      </c>
      <c r="Z5" s="125"/>
      <c r="AA5" s="149">
        <v>1</v>
      </c>
      <c r="AB5" s="132">
        <f>+COUNTIFS($J:$J,"EGRESADO_UCM",$G:$G,"1",$I:$I,"mañana")</f>
        <v>0</v>
      </c>
      <c r="AC5" s="67">
        <f>+COUNTIFS($J:$J,"EGRESADO_UCM",$G:$G,"1",$I:$I,"TARDE")</f>
        <v>0</v>
      </c>
      <c r="AD5" s="138">
        <f>+(AC5+AB5)*$AC$3*AA5</f>
        <v>0</v>
      </c>
      <c r="AE5" s="67">
        <f>+COUNTIFS($J:$J,"EGRESADO_UCM",$G:$G,"1",$I:$I,"NOCHE")</f>
        <v>0</v>
      </c>
      <c r="AF5" s="138">
        <f>+AE5*$AE$3*AA5</f>
        <v>0</v>
      </c>
      <c r="AG5" s="155">
        <f>+AF5+AD5</f>
        <v>0</v>
      </c>
      <c r="AH5" s="149">
        <v>1</v>
      </c>
      <c r="AI5" s="132">
        <f>+COUNTIFS($J:$J,"COLABORADOR",$G:$G,"1",$I:$I,"mañana")</f>
        <v>0</v>
      </c>
      <c r="AJ5" s="154">
        <f>+$AI$3*AI5*AH5</f>
        <v>0</v>
      </c>
      <c r="AK5" s="132">
        <f>+COUNTIFS($J:$J,"COLABORADOR",$G:$G,"1",$I:$I,"tarde")</f>
        <v>0</v>
      </c>
      <c r="AL5" s="154">
        <f>+$AK$3*AK5*AH5</f>
        <v>0</v>
      </c>
      <c r="AM5" s="132">
        <f>+COUNTIFS($J:$J,"COLABORADOR",$G:$G,"1",$I:$I,"noche")</f>
        <v>0</v>
      </c>
      <c r="AN5" s="154">
        <f>+$AM$3*AM5*AH5</f>
        <v>0</v>
      </c>
      <c r="AO5" s="139">
        <f>+AN5+AL5</f>
        <v>0</v>
      </c>
      <c r="AP5" s="124">
        <v>1</v>
      </c>
      <c r="AQ5" s="132">
        <f>+COUNTIFS($J:$J,"ESTUDIANTE_EXTERNO",$G:$G,"1",$I:$I,"mañana")</f>
        <v>0</v>
      </c>
      <c r="AR5" s="132">
        <f>+COUNTIFS($J:$J,"ESTUDIANTE_EXTERNO",$G:$G,"1",$I:$I,"tarde")</f>
        <v>0</v>
      </c>
      <c r="AS5" s="138">
        <f>+(AQ5+AR5)*$AR$3*AP5</f>
        <v>0</v>
      </c>
      <c r="AT5" s="132">
        <f>+COUNTIFS($J:$J,"ESTUDIANTE_EXTERNO",$G:$G,"1",$I:$I,"NOCHE")</f>
        <v>0</v>
      </c>
      <c r="AU5" s="173">
        <f>+AT5*$AT$3*AP5</f>
        <v>0</v>
      </c>
      <c r="AV5" s="151">
        <f>+AU5+AS5</f>
        <v>0</v>
      </c>
      <c r="BK5" s="110"/>
    </row>
    <row r="6" spans="1:63" s="1" customFormat="1" x14ac:dyDescent="0.2">
      <c r="A6" s="4"/>
      <c r="B6" s="4" t="s">
        <v>0</v>
      </c>
      <c r="C6" s="4" t="s">
        <v>1</v>
      </c>
      <c r="D6" s="4" t="s">
        <v>3</v>
      </c>
      <c r="E6" s="4" t="s">
        <v>4</v>
      </c>
      <c r="F6" s="4" t="s">
        <v>8</v>
      </c>
      <c r="G6" s="4" t="s">
        <v>5</v>
      </c>
      <c r="H6" s="4" t="s">
        <v>11</v>
      </c>
      <c r="I6" s="4" t="s">
        <v>6</v>
      </c>
      <c r="J6" s="4" t="s">
        <v>54</v>
      </c>
      <c r="K6" s="13" t="s">
        <v>55</v>
      </c>
      <c r="L6" s="13" t="s">
        <v>53</v>
      </c>
      <c r="M6" s="124">
        <v>2</v>
      </c>
      <c r="N6" s="207">
        <f>+COUNTIFS($J:$J,"UCM",$G:$G,"2",$I:$I,"mañana")</f>
        <v>0</v>
      </c>
      <c r="O6" s="207">
        <f>+COUNTIFS($J:$J,"UCM",$G:$G,"2",$I:$I,"tarde")</f>
        <v>0</v>
      </c>
      <c r="P6" s="138">
        <f>+(N6+O6)*$O$3*M6</f>
        <v>0</v>
      </c>
      <c r="Q6" s="207">
        <f>+COUNTIFS($J:$J,"UCM",$G:$G,"2",$I:$I,"NOCHE")</f>
        <v>0</v>
      </c>
      <c r="R6" s="139">
        <f t="shared" ref="R6:R12" si="0">+Q6*$Q$3*M6</f>
        <v>0</v>
      </c>
      <c r="S6" s="124">
        <v>2</v>
      </c>
      <c r="T6" s="67">
        <f>+COUNTIFS($J:$J,"ESTUDIANTE_UCM",$G:$G,"2",$I:$I,"MAÑANA")</f>
        <v>0</v>
      </c>
      <c r="U6" s="138">
        <f>+T6*$T$3*S6</f>
        <v>0</v>
      </c>
      <c r="V6" s="67">
        <f>+COUNTIFS($J:$J,"ESTUDIANTE_UCM",$G:$G,"2",$I:$I,"TARDE")</f>
        <v>0</v>
      </c>
      <c r="W6" s="138">
        <f t="shared" ref="W6:W12" si="1">+$V$3*V6*S6</f>
        <v>0</v>
      </c>
      <c r="X6" s="67">
        <f>+COUNTIFS($J:$J,"ESTUDIANTE_UCM",$G:$G,"2",$I:$I,"NOCHE")</f>
        <v>0</v>
      </c>
      <c r="Y6" s="138">
        <f t="shared" ref="Y6:Y12" si="2">+X6*$X$3*S6</f>
        <v>0</v>
      </c>
      <c r="Z6" s="125"/>
      <c r="AA6" s="149">
        <v>2</v>
      </c>
      <c r="AB6" s="132">
        <f>+COUNTIFS($J:$J,"EGRESADO_UCM",$G:$G,"2",$I:$I,"mañana")</f>
        <v>0</v>
      </c>
      <c r="AC6" s="132">
        <f>+COUNTIFS($J:$J,"EGRESADO_UCM",$G:$G,"2",$I:$I,"TARDE")</f>
        <v>0</v>
      </c>
      <c r="AD6" s="138">
        <f>+(AC6+AB6)*$AC$3*AA6</f>
        <v>0</v>
      </c>
      <c r="AE6" s="132">
        <f>+COUNTIFS($J:$J,"EGRESADO_UCM",$G:$G,"2",$I:$I,"NOCHE")</f>
        <v>0</v>
      </c>
      <c r="AF6" s="138">
        <f t="shared" ref="AF6:AF12" si="3">+AE6*$AE$3*AA6</f>
        <v>0</v>
      </c>
      <c r="AG6" s="155">
        <f t="shared" ref="AG6:AG12" si="4">+AF6+AD6</f>
        <v>0</v>
      </c>
      <c r="AH6" s="149">
        <v>2</v>
      </c>
      <c r="AI6" s="132">
        <f>+COUNTIFS($J:$J,"COLABORADOR",$G:$G,"2",$I:$I,"mañana")</f>
        <v>0</v>
      </c>
      <c r="AJ6" s="154">
        <f>+$AI$3*AI6*AH6</f>
        <v>0</v>
      </c>
      <c r="AK6" s="132">
        <f>+COUNTIFS($J:$J,"COLABORADOR",$G:$G,"2",$I:$I,"tarde")</f>
        <v>0</v>
      </c>
      <c r="AL6" s="154">
        <f t="shared" ref="AL6:AL12" si="5">+$AK$3*AK6*AH6</f>
        <v>0</v>
      </c>
      <c r="AM6" s="132">
        <f>+COUNTIFS($J:$J,"COLABORADOR",$G:$G,"2",$I:$I,"noche")</f>
        <v>0</v>
      </c>
      <c r="AN6" s="154">
        <f t="shared" ref="AN6:AN12" si="6">+$AM$3*AM6*AH6</f>
        <v>0</v>
      </c>
      <c r="AO6" s="139">
        <f>+AN6+AL6</f>
        <v>0</v>
      </c>
      <c r="AP6" s="124">
        <v>2</v>
      </c>
      <c r="AQ6" s="132">
        <f>+COUNTIFS($J:$J,"ESTUDIANTE_EXTERNO",$G:$G,"2",$I:$I,"mañana")</f>
        <v>0</v>
      </c>
      <c r="AR6" s="132">
        <f>+COUNTIFS($J:$J,"ESTUDIANTE_EXTERNO",$G:$G,"2",$I:$I,"tarde")</f>
        <v>0</v>
      </c>
      <c r="AS6" s="138">
        <f>+(AQ6+AR6)*$AR$3*AP6</f>
        <v>0</v>
      </c>
      <c r="AT6" s="132">
        <f>+COUNTIFS($J:$J,"ESTUDIANTE_EXTERNO",$G:$G,"2",$I:$I,"NOCHE")</f>
        <v>0</v>
      </c>
      <c r="AU6" s="173">
        <f t="shared" ref="AU6:AU12" si="7">+AT6*$AT$3*AP6</f>
        <v>0</v>
      </c>
      <c r="AV6" s="151">
        <f t="shared" ref="AV6:AV12" si="8">+AU6+AS6</f>
        <v>0</v>
      </c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</row>
    <row r="7" spans="1:63" s="1" customFormat="1" x14ac:dyDescent="0.2">
      <c r="A7" s="82"/>
      <c r="B7" s="82">
        <v>0</v>
      </c>
      <c r="C7" s="82"/>
      <c r="D7" s="83"/>
      <c r="E7" s="84"/>
      <c r="F7" s="82"/>
      <c r="G7" s="82"/>
      <c r="H7" s="82"/>
      <c r="I7" s="82"/>
      <c r="J7" s="82"/>
      <c r="K7" s="13"/>
      <c r="L7" s="13"/>
      <c r="M7" s="124">
        <v>3</v>
      </c>
      <c r="N7" s="207">
        <f>+COUNTIFS($J:$J,"UCM",$G:$G,"3",$I:$I,"mañana")</f>
        <v>0</v>
      </c>
      <c r="O7" s="207">
        <f>+COUNTIFS($J:$J,"UCM",$G:$G,"3",$I:$I,"tarde")</f>
        <v>0</v>
      </c>
      <c r="P7" s="138">
        <f>+(N7+O7)*$O$3*M7</f>
        <v>0</v>
      </c>
      <c r="Q7" s="207">
        <f>+COUNTIFS($J:$J,"UCM",$G:$G,"3",$I:$I,"NOCHE")</f>
        <v>0</v>
      </c>
      <c r="R7" s="139">
        <f>+Q7*$Q$3*M7</f>
        <v>0</v>
      </c>
      <c r="S7" s="124">
        <v>3</v>
      </c>
      <c r="T7" s="67">
        <f>+COUNTIFS($J:$J,"ESTUDIANTE_UCM",$G:$G,"3",$I:$I,"MAÑANA")</f>
        <v>0</v>
      </c>
      <c r="U7" s="138">
        <f t="shared" ref="U7:U12" si="9">+T7*$T$3*S7</f>
        <v>0</v>
      </c>
      <c r="V7" s="67">
        <f>+COUNTIFS($J:$J,"ESTUDIANTE_UCM",$G:$G,"3",$I:$I,"TARDE")</f>
        <v>0</v>
      </c>
      <c r="W7" s="138">
        <f t="shared" si="1"/>
        <v>0</v>
      </c>
      <c r="X7" s="67">
        <f>+COUNTIFS($J:$J,"ESTUDIANTE_UCM",$G:$G,"3",$I:$I,"NOCHE")</f>
        <v>0</v>
      </c>
      <c r="Y7" s="138">
        <f t="shared" si="2"/>
        <v>0</v>
      </c>
      <c r="Z7" s="125"/>
      <c r="AA7" s="149">
        <v>3</v>
      </c>
      <c r="AB7" s="132">
        <f>+COUNTIFS($J:$J,"EGRESADO_UCM",$G:$G,"3",$I:$I,"mañana")</f>
        <v>0</v>
      </c>
      <c r="AC7" s="132">
        <f>+COUNTIFS($J:$J,"EGRESADO_UCM",$G:$G,"3",$I:$I,"TARDE")</f>
        <v>0</v>
      </c>
      <c r="AD7" s="138">
        <f t="shared" ref="AD7:AD12" si="10">+(AC7+AB7)*$AC$3*AA7</f>
        <v>0</v>
      </c>
      <c r="AE7" s="132">
        <f>+COUNTIFS($J:$J,"EGRESADO_UCM",$G:$G,"3",$I:$I,"NOCHE")</f>
        <v>0</v>
      </c>
      <c r="AF7" s="138">
        <f t="shared" si="3"/>
        <v>0</v>
      </c>
      <c r="AG7" s="155">
        <f t="shared" si="4"/>
        <v>0</v>
      </c>
      <c r="AH7" s="149">
        <v>3</v>
      </c>
      <c r="AI7" s="132">
        <f>+COUNTIFS($J:$J,"COLABORADOR",$G:$G,"3",$I:$I,"mañana")</f>
        <v>0</v>
      </c>
      <c r="AJ7" s="154">
        <f t="shared" ref="AJ7:AJ12" si="11">+$AI$3*AI7*AH7</f>
        <v>0</v>
      </c>
      <c r="AK7" s="132">
        <f>+COUNTIFS($J:$J,"COLABORADOR",$G:$G,"3",$I:$I,"tarde")</f>
        <v>0</v>
      </c>
      <c r="AL7" s="154">
        <f t="shared" si="5"/>
        <v>0</v>
      </c>
      <c r="AM7" s="132">
        <f>+COUNTIFS($J:$J,"COLABORADOR",$G:$G,"3",$I:$I,"noche")</f>
        <v>0</v>
      </c>
      <c r="AN7" s="154">
        <f t="shared" si="6"/>
        <v>0</v>
      </c>
      <c r="AO7" s="139">
        <f t="shared" ref="AO7:AO12" si="12">+AN7+AL7</f>
        <v>0</v>
      </c>
      <c r="AP7" s="124">
        <v>3</v>
      </c>
      <c r="AQ7" s="132">
        <f>+COUNTIFS($J:$J,"ESTUDIANTE_EXTERNO",$G:$G,"3",$I:$I,"mañana")</f>
        <v>0</v>
      </c>
      <c r="AR7" s="132">
        <f>+COUNTIFS($J:$J,"ESTUDIANTE_EXTERNO",$G:$G,"3",$I:$I,"tarde")</f>
        <v>0</v>
      </c>
      <c r="AS7" s="138">
        <f t="shared" ref="AS7:AS12" si="13">+(AQ7+AR7)*$AR$3*AP7</f>
        <v>0</v>
      </c>
      <c r="AT7" s="132">
        <f>+COUNTIFS($J:$J,"ESTUDIANTE_EXTERNO",$G:$G,"3",$I:$I,"NOCHE")</f>
        <v>0</v>
      </c>
      <c r="AU7" s="173">
        <f t="shared" si="7"/>
        <v>0</v>
      </c>
      <c r="AV7" s="151">
        <f t="shared" si="8"/>
        <v>0</v>
      </c>
      <c r="AW7" s="13"/>
      <c r="AX7" s="13"/>
      <c r="AY7" s="13"/>
      <c r="BK7" s="4"/>
    </row>
    <row r="8" spans="1:63" s="115" customFormat="1" ht="16.5" thickBot="1" x14ac:dyDescent="0.3">
      <c r="A8" s="87"/>
      <c r="B8" s="444"/>
      <c r="C8" s="400"/>
      <c r="D8" s="97"/>
      <c r="E8" s="400"/>
      <c r="F8" s="400"/>
      <c r="G8" s="400"/>
      <c r="H8" s="400"/>
      <c r="I8" s="400"/>
      <c r="J8" s="400"/>
      <c r="K8" s="400"/>
      <c r="L8" s="400"/>
      <c r="M8" s="124">
        <v>4</v>
      </c>
      <c r="N8" s="207">
        <f>+COUNTIFS($J:$J,"UCM",$G:$G,"4",$I:$I,"mañana")</f>
        <v>0</v>
      </c>
      <c r="O8" s="207">
        <f>+COUNTIFS($J:$J,"UCM",$G:$G,"4",$I:$I,"tarde")</f>
        <v>0</v>
      </c>
      <c r="P8" s="207">
        <f t="shared" ref="P8:P12" si="14">+(N8+O8)*$O$3*M8</f>
        <v>0</v>
      </c>
      <c r="Q8" s="207">
        <f>+COUNTIFS($J:$J,"UCM",$G:$G,"4",$I:$I,"NOCHE")</f>
        <v>0</v>
      </c>
      <c r="R8" s="139">
        <f t="shared" si="0"/>
        <v>0</v>
      </c>
      <c r="S8" s="124">
        <v>4</v>
      </c>
      <c r="T8" s="67">
        <f>+COUNTIFS($J:$J,"ESTUDIANTE_UCM",$G:$G,"4",$I:$I,"MAÑANA")</f>
        <v>0</v>
      </c>
      <c r="U8" s="138">
        <f t="shared" si="9"/>
        <v>0</v>
      </c>
      <c r="V8" s="67">
        <f>+COUNTIFS($J:$J,"ESTUDIANTE_UCM",$G:$G,"4",$I:$I,"TARDE")</f>
        <v>0</v>
      </c>
      <c r="W8" s="138">
        <f t="shared" si="1"/>
        <v>0</v>
      </c>
      <c r="X8" s="67">
        <f>+COUNTIFS($J:$J,"ESTUDIANTE_UCM",$G:$G,"4",$I:$I,"NOCHE")</f>
        <v>0</v>
      </c>
      <c r="Y8" s="138">
        <f t="shared" si="2"/>
        <v>0</v>
      </c>
      <c r="Z8" s="125"/>
      <c r="AA8" s="149">
        <v>4</v>
      </c>
      <c r="AB8" s="132">
        <f>+COUNTIFS($J:$J,"EGRESADO_UCM",$G:$G,"4",$I:$I,"mañana")</f>
        <v>0</v>
      </c>
      <c r="AC8" s="132">
        <f>+COUNTIFS($J:$J,"EGRESADO_UCM",$G:$G,"4",$I:$I,"TARDE")</f>
        <v>0</v>
      </c>
      <c r="AD8" s="138">
        <f>+(AC8+AB8)*$AC$3*AA8</f>
        <v>0</v>
      </c>
      <c r="AE8" s="132">
        <f>+COUNTIFS($J:$J,"EGRESADO_UCM",$G:$G,"4",$I:$I,"NOCHE")</f>
        <v>0</v>
      </c>
      <c r="AF8" s="138">
        <f t="shared" si="3"/>
        <v>0</v>
      </c>
      <c r="AG8" s="155">
        <f t="shared" si="4"/>
        <v>0</v>
      </c>
      <c r="AH8" s="149">
        <v>4</v>
      </c>
      <c r="AI8" s="132">
        <f>+COUNTIFS($J:$J,"COLABORADOR",$G:$G,"4",$I:$I,"mañana")</f>
        <v>0</v>
      </c>
      <c r="AJ8" s="154">
        <f t="shared" si="11"/>
        <v>0</v>
      </c>
      <c r="AK8" s="132">
        <f>+COUNTIFS($J:$J,"COLABORADOR",$G:$G,"4",$I:$I,"tarde")</f>
        <v>0</v>
      </c>
      <c r="AL8" s="154">
        <f t="shared" si="5"/>
        <v>0</v>
      </c>
      <c r="AM8" s="132">
        <f>+COUNTIFS($J:$J,"COLABORADOR",$G:$G,"4",$I:$I,"noche")</f>
        <v>0</v>
      </c>
      <c r="AN8" s="154">
        <f t="shared" si="6"/>
        <v>0</v>
      </c>
      <c r="AO8" s="139">
        <f>+AN8+AL8</f>
        <v>0</v>
      </c>
      <c r="AP8" s="124">
        <v>4</v>
      </c>
      <c r="AQ8" s="132">
        <f>+COUNTIFS($J:$J,"ESTUDIANTE_EXTERNO",$G:$G,"4",$I:$I,"mañana")</f>
        <v>0</v>
      </c>
      <c r="AR8" s="132">
        <f>+COUNTIFS($J:$J,"ESTUDIANTE_EXTERNO",$G:$G,"4",$I:$I,"tarde")</f>
        <v>0</v>
      </c>
      <c r="AS8" s="138">
        <f t="shared" si="13"/>
        <v>0</v>
      </c>
      <c r="AT8" s="132">
        <f>+COUNTIFS($J:$J,"ESTUDIANTE_EXTERNO",$G:$G,"4",$I:$I,"NOCHE")</f>
        <v>0</v>
      </c>
      <c r="AU8" s="173">
        <f t="shared" si="7"/>
        <v>0</v>
      </c>
      <c r="AV8" s="151">
        <f t="shared" si="8"/>
        <v>0</v>
      </c>
      <c r="AW8" s="116"/>
      <c r="AX8" s="116"/>
      <c r="AY8" s="116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</row>
    <row r="9" spans="1:63" ht="16.5" thickBot="1" x14ac:dyDescent="0.3">
      <c r="A9" s="245" t="str">
        <f t="shared" ref="A9:A40" si="15">+TEXT(B9,"dddd")</f>
        <v>sábado</v>
      </c>
      <c r="B9" s="446"/>
      <c r="C9" s="439"/>
      <c r="D9" s="440"/>
      <c r="E9" s="440"/>
      <c r="F9" s="440"/>
      <c r="G9" s="440"/>
      <c r="H9" s="440"/>
      <c r="I9" s="440"/>
      <c r="J9" s="441"/>
      <c r="K9" s="442"/>
      <c r="L9" s="400"/>
      <c r="M9" s="124">
        <v>5</v>
      </c>
      <c r="N9" s="207">
        <f>+COUNTIFS($J:$J,"UCM",$G:$G,"5",$I:$I,"mañana")</f>
        <v>0</v>
      </c>
      <c r="O9" s="207">
        <f>+COUNTIFS($J:$J,"UCM",$G:$G,"5",$I:$I,"tarde")</f>
        <v>0</v>
      </c>
      <c r="P9" s="138">
        <f t="shared" si="14"/>
        <v>0</v>
      </c>
      <c r="Q9" s="207">
        <f>+COUNTIFS($J:$J,"UCM",$G:$G,"5",$I:$I,"NOCHE")</f>
        <v>0</v>
      </c>
      <c r="R9" s="139">
        <f t="shared" si="0"/>
        <v>0</v>
      </c>
      <c r="S9" s="124">
        <v>5</v>
      </c>
      <c r="T9" s="67">
        <f>+COUNTIFS($J:$J,"ESTUDIANTE_UCM",$G:$G,"5",$I:$I,"MAÑANA")</f>
        <v>0</v>
      </c>
      <c r="U9" s="138">
        <f t="shared" si="9"/>
        <v>0</v>
      </c>
      <c r="V9" s="67">
        <f>+COUNTIFS($J:$J,"ESTUDIANTE_UCM",$G:$G,"5",$I:$I,"TARDE")</f>
        <v>0</v>
      </c>
      <c r="W9" s="138">
        <f t="shared" si="1"/>
        <v>0</v>
      </c>
      <c r="X9" s="67">
        <f>+COUNTIFS($J:$J,"ESTUDIANTE_UCM",$G:$G,"5",$I:$I,"NOCHE")</f>
        <v>0</v>
      </c>
      <c r="Y9" s="138">
        <f t="shared" si="2"/>
        <v>0</v>
      </c>
      <c r="Z9" s="125"/>
      <c r="AA9" s="149">
        <v>5</v>
      </c>
      <c r="AB9" s="132">
        <f>+COUNTIFS($J:$J,"EGRESADO_UCM",$G:$G,"5",$I:$I,"mañana")</f>
        <v>0</v>
      </c>
      <c r="AC9" s="132">
        <f>+COUNTIFS($J:$J,"EGRESADO_UCM",$G:$G,"5",$I:$I,"TARDE")</f>
        <v>0</v>
      </c>
      <c r="AD9" s="138">
        <f t="shared" si="10"/>
        <v>0</v>
      </c>
      <c r="AE9" s="132">
        <f>+COUNTIFS($J:$J,"EGRESADO_UCM",$G:$G,"5",$I:$I,"NOCHE")</f>
        <v>0</v>
      </c>
      <c r="AF9" s="138">
        <f t="shared" si="3"/>
        <v>0</v>
      </c>
      <c r="AG9" s="155">
        <f t="shared" si="4"/>
        <v>0</v>
      </c>
      <c r="AH9" s="149">
        <v>5</v>
      </c>
      <c r="AI9" s="132">
        <f>+COUNTIFS($J:$J,"COLABORADOR",$G:$G,"5",$I:$I,"mañana")</f>
        <v>0</v>
      </c>
      <c r="AJ9" s="154">
        <f t="shared" si="11"/>
        <v>0</v>
      </c>
      <c r="AK9" s="132">
        <f>+COUNTIFS($J:$J,"COLABORADOR",$G:$G,"5",$I:$I,"tarde")</f>
        <v>0</v>
      </c>
      <c r="AL9" s="154">
        <f t="shared" si="5"/>
        <v>0</v>
      </c>
      <c r="AM9" s="132">
        <f>+COUNTIFS($J:$J,"COLABORADOR",$G:$G,"5",$I:$I,"noche")</f>
        <v>0</v>
      </c>
      <c r="AN9" s="154">
        <f t="shared" si="6"/>
        <v>0</v>
      </c>
      <c r="AO9" s="139">
        <f t="shared" si="12"/>
        <v>0</v>
      </c>
      <c r="AP9" s="124">
        <v>5</v>
      </c>
      <c r="AQ9" s="132">
        <f>+COUNTIFS($J:$J,"ESTUDIANTE_EXTERNO",$G:$G,"5",$I:$I,"mañana")</f>
        <v>0</v>
      </c>
      <c r="AR9" s="132">
        <f>+COUNTIFS($J:$J,"ESTUDIANTE_EXTERNO",$G:$G,"5",$I:$I,"tarde")</f>
        <v>0</v>
      </c>
      <c r="AS9" s="138">
        <f t="shared" si="13"/>
        <v>0</v>
      </c>
      <c r="AT9" s="132">
        <f>+COUNTIFS($J:$J,"ESTUDIANTE_EXTERNO",$G:$G,"5",$I:$I,"NOCHE")</f>
        <v>0</v>
      </c>
      <c r="AU9" s="173">
        <f t="shared" si="7"/>
        <v>0</v>
      </c>
      <c r="AV9" s="151">
        <f t="shared" si="8"/>
        <v>0</v>
      </c>
      <c r="AW9" s="81"/>
      <c r="AX9" s="81"/>
      <c r="AY9" s="81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 s="87" customFormat="1" ht="15.75" thickBot="1" x14ac:dyDescent="0.3">
      <c r="A10" s="245" t="str">
        <f t="shared" si="15"/>
        <v>sábado</v>
      </c>
      <c r="B10" s="446"/>
      <c r="C10" s="443"/>
      <c r="D10" s="440"/>
      <c r="E10" s="440"/>
      <c r="F10" s="440"/>
      <c r="G10" s="440"/>
      <c r="H10" s="440"/>
      <c r="I10" s="440"/>
      <c r="J10" s="441"/>
      <c r="K10" s="442"/>
      <c r="L10" s="413"/>
      <c r="M10" s="124">
        <v>6</v>
      </c>
      <c r="N10" s="207">
        <f>+COUNTIFS($J:$J,"UCM",$G:$G,"6",$I:$I,"mañana")</f>
        <v>0</v>
      </c>
      <c r="O10" s="207">
        <f>+COUNTIFS($J:$J,"UCM",$G:$G,"6",$I:$I,"tarde")</f>
        <v>0</v>
      </c>
      <c r="P10" s="138">
        <f t="shared" si="14"/>
        <v>0</v>
      </c>
      <c r="Q10" s="207">
        <f>+COUNTIFS($J:$J,"UCM",$G:$G,"6",$I:$I,"NOCHE")</f>
        <v>0</v>
      </c>
      <c r="R10" s="139">
        <f t="shared" si="0"/>
        <v>0</v>
      </c>
      <c r="S10" s="124">
        <v>6</v>
      </c>
      <c r="T10" s="67">
        <f>+COUNTIFS($J:$J,"ESTUDIANTE_UCM",$G:$G,"6",$I:$I,"MAÑANA")</f>
        <v>0</v>
      </c>
      <c r="U10" s="138">
        <f t="shared" si="9"/>
        <v>0</v>
      </c>
      <c r="V10" s="67">
        <f>+COUNTIFS($J:$J,"ESTUDIANTE_UCM",$G:$G,"6",$I:$I,"TARDE")</f>
        <v>0</v>
      </c>
      <c r="W10" s="138">
        <f t="shared" si="1"/>
        <v>0</v>
      </c>
      <c r="X10" s="67">
        <f>+COUNTIFS($J:$J,"ESTUDIANTE_UCM",$G:$G,"6",$I:$I,"NOCHE")</f>
        <v>0</v>
      </c>
      <c r="Y10" s="138">
        <f t="shared" si="2"/>
        <v>0</v>
      </c>
      <c r="Z10" s="125"/>
      <c r="AA10" s="149">
        <v>6</v>
      </c>
      <c r="AB10" s="132">
        <f>+COUNTIFS($J:$J,"EGRESADO_UCM",$G:$G,"6",$I:$I,"mañana")</f>
        <v>0</v>
      </c>
      <c r="AC10" s="132">
        <f>+COUNTIFS($J:$J,"EGRESADO_UCM",$G:$G,"6",$I:$I,"TARDE")</f>
        <v>0</v>
      </c>
      <c r="AD10" s="138">
        <f t="shared" si="10"/>
        <v>0</v>
      </c>
      <c r="AE10" s="132">
        <f>+COUNTIFS($J:$J,"EGRESADO_UCM",$G:$G,"6",$I:$I,"NOCHE")</f>
        <v>0</v>
      </c>
      <c r="AF10" s="138">
        <f t="shared" si="3"/>
        <v>0</v>
      </c>
      <c r="AG10" s="155">
        <f t="shared" si="4"/>
        <v>0</v>
      </c>
      <c r="AH10" s="149">
        <v>6</v>
      </c>
      <c r="AI10" s="132">
        <f>+COUNTIFS($J:$J,"COLABORADOR",$G:$G,"6",$I:$I,"mañana")</f>
        <v>0</v>
      </c>
      <c r="AJ10" s="154">
        <f t="shared" si="11"/>
        <v>0</v>
      </c>
      <c r="AK10" s="132">
        <f>+COUNTIFS($J:$J,"COLABORADOR",$G:$G,"6",$I:$I,"tarde")</f>
        <v>0</v>
      </c>
      <c r="AL10" s="154">
        <f t="shared" si="5"/>
        <v>0</v>
      </c>
      <c r="AM10" s="132">
        <f>+COUNTIFS($J:$J,"COLABORADOR",$G:$G,"6",$I:$I,"noche")</f>
        <v>0</v>
      </c>
      <c r="AN10" s="154">
        <f t="shared" si="6"/>
        <v>0</v>
      </c>
      <c r="AO10" s="139">
        <f t="shared" si="12"/>
        <v>0</v>
      </c>
      <c r="AP10" s="124">
        <v>6</v>
      </c>
      <c r="AQ10" s="132">
        <f>+COUNTIFS($J:$J,"ESTUDIANTE_EXTERNO",$G:$G,"6",$I:$I,"mañana")</f>
        <v>0</v>
      </c>
      <c r="AR10" s="132">
        <f>+COUNTIFS($J:$J,"ESTUDIANTE_EXTERNO",$G:$G,"6",$I:$I,"tarde")</f>
        <v>0</v>
      </c>
      <c r="AS10" s="138">
        <f t="shared" si="13"/>
        <v>0</v>
      </c>
      <c r="AT10" s="132">
        <f>+COUNTIFS($J:$J,"ESTUDIANTE_EXTERNO",$G:$G,"6",$I:$I,"NOCHE")</f>
        <v>0</v>
      </c>
      <c r="AU10" s="173">
        <f t="shared" si="7"/>
        <v>0</v>
      </c>
      <c r="AV10" s="151">
        <f t="shared" si="8"/>
        <v>0</v>
      </c>
      <c r="AW10" s="81"/>
      <c r="AX10" s="81"/>
      <c r="AY10" s="81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 ht="15.75" thickBot="1" x14ac:dyDescent="0.3">
      <c r="A11" s="245" t="str">
        <f t="shared" si="15"/>
        <v>sábado</v>
      </c>
      <c r="B11" s="446"/>
      <c r="C11" s="453"/>
      <c r="D11" s="440"/>
      <c r="E11" s="440"/>
      <c r="F11" s="440"/>
      <c r="G11" s="440"/>
      <c r="H11" s="440"/>
      <c r="I11" s="440"/>
      <c r="J11" s="441"/>
      <c r="K11" s="442"/>
      <c r="L11" s="413"/>
      <c r="M11" s="192">
        <v>7</v>
      </c>
      <c r="N11" s="136">
        <f>+COUNTIFS($J:$J,"UCM",$G:$G,"7",$I:$I,"mañana")</f>
        <v>0</v>
      </c>
      <c r="O11" s="136">
        <f>+COUNTIFS($J:$J,"UCM",$G:$G,"7",$I:$I,"tarde")</f>
        <v>0</v>
      </c>
      <c r="P11" s="140">
        <f t="shared" si="14"/>
        <v>0</v>
      </c>
      <c r="Q11" s="136">
        <f>+COUNTIFS($J:$J,"UCM",$G:$G,"7",$I:$I,"NOCHE")</f>
        <v>0</v>
      </c>
      <c r="R11" s="141">
        <f t="shared" si="0"/>
        <v>0</v>
      </c>
      <c r="S11" s="124">
        <v>7</v>
      </c>
      <c r="T11" s="67">
        <f>+COUNTIFS($J:$J,"ESTUDIANTE_UCM",$G:$G,"7",$I:$I,"MAÑANA")</f>
        <v>0</v>
      </c>
      <c r="U11" s="138">
        <f t="shared" si="9"/>
        <v>0</v>
      </c>
      <c r="V11" s="67">
        <f>+COUNTIFS($J:$J,"ESTUDIANTE_UCM",$G:$G,"7",$I:$I,"TARDE")</f>
        <v>0</v>
      </c>
      <c r="W11" s="138">
        <f t="shared" si="1"/>
        <v>0</v>
      </c>
      <c r="X11" s="67">
        <f>+COUNTIFS($J:$J,"ESTUDIANTE_UCM",$G:$G,"7",$I:$I,"NOCHE")</f>
        <v>0</v>
      </c>
      <c r="Y11" s="138">
        <f t="shared" si="2"/>
        <v>0</v>
      </c>
      <c r="Z11" s="125"/>
      <c r="AA11" s="149">
        <v>7</v>
      </c>
      <c r="AB11" s="132">
        <f>+COUNTIFS($J:$J,"EGRESADO_UCM",$G:$G,"7",$I:$I,"mañana")</f>
        <v>0</v>
      </c>
      <c r="AC11" s="132">
        <f>+COUNTIFS($J:$J,"EGRESADO_UCM",$G:$G,"7",$I:$I,"TARDE")</f>
        <v>0</v>
      </c>
      <c r="AD11" s="138">
        <f t="shared" si="10"/>
        <v>0</v>
      </c>
      <c r="AE11" s="132">
        <f>+COUNTIFS($J:$J,"EGRESADO_UCM",$G:$G,"7",$I:$I,"NOCHE")</f>
        <v>0</v>
      </c>
      <c r="AF11" s="138">
        <f t="shared" si="3"/>
        <v>0</v>
      </c>
      <c r="AG11" s="155">
        <f t="shared" si="4"/>
        <v>0</v>
      </c>
      <c r="AH11" s="149">
        <v>7</v>
      </c>
      <c r="AI11" s="132">
        <f>+COUNTIFS($J:$J,"COLABORADOR",$G:$G,"7",$I:$I,"mañana")</f>
        <v>0</v>
      </c>
      <c r="AJ11" s="154">
        <f>+$AI$3*AI11*AH11</f>
        <v>0</v>
      </c>
      <c r="AK11" s="132">
        <f>+COUNTIFS($J:$J,"COLABORADOR",$G:$G,"7",$I:$I,"tarde")</f>
        <v>0</v>
      </c>
      <c r="AL11" s="154">
        <f t="shared" si="5"/>
        <v>0</v>
      </c>
      <c r="AM11" s="132">
        <f>+COUNTIFS($J:$J,"COLABORADOR",$G:$G,"7",$I:$I,"noche")</f>
        <v>0</v>
      </c>
      <c r="AN11" s="154">
        <f t="shared" si="6"/>
        <v>0</v>
      </c>
      <c r="AO11" s="139">
        <f t="shared" si="12"/>
        <v>0</v>
      </c>
      <c r="AP11" s="124">
        <v>7</v>
      </c>
      <c r="AQ11" s="132">
        <f>+COUNTIFS($J:$J,"ESTUDIANTE_EXTERNO",$G:$G,"7",$I:$I,"mañana")</f>
        <v>0</v>
      </c>
      <c r="AR11" s="132">
        <f>+COUNTIFS($J:$J,"ESTUDIANTE_EXTERNO",$G:$G,"7",$I:$I,"tarde")</f>
        <v>0</v>
      </c>
      <c r="AS11" s="138">
        <f t="shared" si="13"/>
        <v>0</v>
      </c>
      <c r="AT11" s="132">
        <f>+COUNTIFS($J:$J,"ESTUDIANTE_EXTERNO",$G:$G,"7",$I:$I,"NOCHE")</f>
        <v>0</v>
      </c>
      <c r="AU11" s="173">
        <f t="shared" si="7"/>
        <v>0</v>
      </c>
      <c r="AV11" s="151">
        <f t="shared" si="8"/>
        <v>0</v>
      </c>
      <c r="AW11" s="81"/>
      <c r="AX11" s="81"/>
      <c r="AY11" s="81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 ht="15.75" thickBot="1" x14ac:dyDescent="0.3">
      <c r="A12" s="245" t="str">
        <f t="shared" si="15"/>
        <v>sábado</v>
      </c>
      <c r="B12" s="446"/>
      <c r="C12" s="444"/>
      <c r="D12" s="440"/>
      <c r="E12" s="440"/>
      <c r="F12" s="440"/>
      <c r="G12" s="440"/>
      <c r="H12" s="440"/>
      <c r="I12" s="440"/>
      <c r="J12" s="441"/>
      <c r="K12" s="441"/>
      <c r="L12" s="413"/>
      <c r="M12" s="124">
        <v>8</v>
      </c>
      <c r="N12" s="67">
        <f>+COUNTIFS($J:$J,"UCM",$G:$G,"8",$I:$I,"mañana")</f>
        <v>0</v>
      </c>
      <c r="O12" s="67">
        <f>+COUNTIFS($J:$J,"UCM",$G:$G,"8",$I:$I,"tarde")</f>
        <v>0</v>
      </c>
      <c r="P12" s="138">
        <f t="shared" si="14"/>
        <v>0</v>
      </c>
      <c r="Q12" s="67">
        <f>+COUNTIFS($J:$J,"UCM",$G:$G,"8",$I:$I,"NOCHE")</f>
        <v>0</v>
      </c>
      <c r="R12" s="139">
        <f t="shared" si="0"/>
        <v>0</v>
      </c>
      <c r="S12" s="124">
        <v>8</v>
      </c>
      <c r="T12" s="67">
        <f>+COUNTIFS($J:$J,"ESTUDIANTE_UCM",$G:$G,"8",$I:$I,"MAÑANA")</f>
        <v>0</v>
      </c>
      <c r="U12" s="138">
        <f t="shared" si="9"/>
        <v>0</v>
      </c>
      <c r="V12" s="67">
        <f>+COUNTIFS($J:$J,"ESTUDIANTE_UCM",$G:$G,"8",$I:$I,"TARDE")</f>
        <v>0</v>
      </c>
      <c r="W12" s="138">
        <f t="shared" si="1"/>
        <v>0</v>
      </c>
      <c r="X12" s="67">
        <f>+COUNTIFS($J:$J,"ESTUDIANTE_UCM",$G:$G,"8",$I:$I,"NOCHE")</f>
        <v>0</v>
      </c>
      <c r="Y12" s="138">
        <f t="shared" si="2"/>
        <v>0</v>
      </c>
      <c r="Z12" s="125"/>
      <c r="AA12" s="149">
        <v>8</v>
      </c>
      <c r="AB12" s="132">
        <f>+COUNTIFS($J:$J,"EGRESADO_UCM",$G:$G,"8",$I:$I,"mañana")</f>
        <v>0</v>
      </c>
      <c r="AC12" s="132">
        <f>+COUNTIFS($J:$J,"EGRESADO_UCM",$G:$G,"8",$I:$I,"TARDE")</f>
        <v>0</v>
      </c>
      <c r="AD12" s="138">
        <f t="shared" si="10"/>
        <v>0</v>
      </c>
      <c r="AE12" s="132">
        <f>+COUNTIFS($J:$J,"EGRESADO_UCM",$G:$G,"8",$I:$I,"NOCHE")</f>
        <v>0</v>
      </c>
      <c r="AF12" s="138">
        <f t="shared" si="3"/>
        <v>0</v>
      </c>
      <c r="AG12" s="155">
        <f t="shared" si="4"/>
        <v>0</v>
      </c>
      <c r="AH12" s="149">
        <v>8</v>
      </c>
      <c r="AI12" s="132">
        <f>+COUNTIFS($J:$J,"COLABORADOR",$G:$G,"8",$I:$I,"mañana")</f>
        <v>0</v>
      </c>
      <c r="AJ12" s="154">
        <f t="shared" si="11"/>
        <v>0</v>
      </c>
      <c r="AK12" s="132">
        <f>+COUNTIFS($J:$J,"COLABORADOR",$G:$G,"8",$I:$I,"tarde")</f>
        <v>0</v>
      </c>
      <c r="AL12" s="154">
        <f t="shared" si="5"/>
        <v>0</v>
      </c>
      <c r="AM12" s="132">
        <f>+COUNTIFS($J:$J,"COLABORADOR",$G:$G,"8",$I:$I,"noche")</f>
        <v>0</v>
      </c>
      <c r="AN12" s="154">
        <f t="shared" si="6"/>
        <v>0</v>
      </c>
      <c r="AO12" s="139">
        <f t="shared" si="12"/>
        <v>0</v>
      </c>
      <c r="AP12" s="124">
        <v>8</v>
      </c>
      <c r="AQ12" s="132">
        <f>+COUNTIFS($J:$J,"ESTUDIANTE_EXTERNO",$G:$G,"8",$I:$I,"mañana")</f>
        <v>0</v>
      </c>
      <c r="AR12" s="132">
        <f>+COUNTIFS($J:$J,"ESTUDIANTE_EXTERNO",$G:$G,"8",$I:$I,"tarde")</f>
        <v>0</v>
      </c>
      <c r="AS12" s="138">
        <f t="shared" si="13"/>
        <v>0</v>
      </c>
      <c r="AT12" s="132">
        <f>+COUNTIFS($J:$J,"ESTUDIANTE_EXTERNO",$G:$G,"8",$I:$I,"NOCHE")</f>
        <v>0</v>
      </c>
      <c r="AU12" s="173">
        <f t="shared" si="7"/>
        <v>0</v>
      </c>
      <c r="AV12" s="151">
        <f t="shared" si="8"/>
        <v>0</v>
      </c>
      <c r="AW12" s="89"/>
      <c r="AX12" s="89"/>
      <c r="AY12" s="89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 ht="15.75" thickBot="1" x14ac:dyDescent="0.3">
      <c r="A13" s="245" t="str">
        <f t="shared" si="15"/>
        <v>sábado</v>
      </c>
      <c r="B13" s="446"/>
      <c r="C13" s="441"/>
      <c r="D13" s="440"/>
      <c r="E13" s="440"/>
      <c r="F13" s="440"/>
      <c r="G13" s="440"/>
      <c r="H13" s="440"/>
      <c r="I13" s="440"/>
      <c r="J13" s="441"/>
      <c r="K13" s="441"/>
      <c r="L13" s="413"/>
      <c r="M13" s="133"/>
      <c r="N13" s="166"/>
      <c r="O13" s="166"/>
      <c r="P13" s="153">
        <f>SUM(P5:P12)</f>
        <v>0</v>
      </c>
      <c r="Q13" s="166"/>
      <c r="R13" s="142">
        <f>SUM(R5:R12)</f>
        <v>0</v>
      </c>
      <c r="S13" s="133" t="s">
        <v>31</v>
      </c>
      <c r="T13" s="166"/>
      <c r="U13" s="144"/>
      <c r="V13" s="144"/>
      <c r="W13" s="153">
        <f>SUM(W5:W12)</f>
        <v>0</v>
      </c>
      <c r="X13" s="144"/>
      <c r="Y13" s="142">
        <f>SUM(Y5:Y12)</f>
        <v>0</v>
      </c>
      <c r="Z13" s="161">
        <f>+Y13+W13+U13</f>
        <v>0</v>
      </c>
      <c r="AA13" s="63" t="s">
        <v>36</v>
      </c>
      <c r="AB13" s="63"/>
      <c r="AD13" s="150">
        <f>SUM(AD5:AD12)</f>
        <v>0</v>
      </c>
      <c r="AE13" s="63"/>
      <c r="AF13" s="150">
        <f>SUM(AF5:AF12)</f>
        <v>0</v>
      </c>
      <c r="AG13" s="167">
        <f>+AF13+AD13</f>
        <v>0</v>
      </c>
      <c r="AH13" s="165" t="s">
        <v>38</v>
      </c>
      <c r="AI13" s="130"/>
      <c r="AJ13" s="169"/>
      <c r="AK13" s="140"/>
      <c r="AL13" s="140">
        <f>SUM(AL5:AL12)</f>
        <v>0</v>
      </c>
      <c r="AM13" s="140"/>
      <c r="AN13" s="140">
        <f>SUM(AN5:AN12)</f>
        <v>0</v>
      </c>
      <c r="AO13" s="141">
        <f>+AN13+AL13</f>
        <v>0</v>
      </c>
      <c r="AP13" s="129" t="s">
        <v>38</v>
      </c>
      <c r="AQ13" s="130"/>
      <c r="AR13" s="130"/>
      <c r="AS13" s="140">
        <f>SUM(AS5:AS12)</f>
        <v>0</v>
      </c>
      <c r="AT13" s="130"/>
      <c r="AU13" s="172">
        <f>SUM(AU5:AU12)</f>
        <v>0</v>
      </c>
      <c r="AV13" s="160">
        <f>SUM(AV5:AV12)</f>
        <v>0</v>
      </c>
      <c r="AW13" s="89"/>
      <c r="AX13" s="89"/>
      <c r="AY13" s="89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 ht="15.75" thickBot="1" x14ac:dyDescent="0.3">
      <c r="A14" s="245" t="str">
        <f t="shared" si="15"/>
        <v>sábado</v>
      </c>
      <c r="B14" s="446"/>
      <c r="C14" s="444"/>
      <c r="D14" s="440"/>
      <c r="E14" s="440"/>
      <c r="F14" s="440"/>
      <c r="G14" s="440"/>
      <c r="H14" s="440"/>
      <c r="I14" s="440"/>
      <c r="J14" s="441"/>
      <c r="K14" s="441"/>
      <c r="L14" s="415"/>
      <c r="M14" s="89"/>
      <c r="N14" s="89"/>
      <c r="O14" s="89"/>
      <c r="P14" s="89"/>
      <c r="Q14" s="133" t="s">
        <v>33</v>
      </c>
      <c r="R14" s="160">
        <f>+R13+P13</f>
        <v>0</v>
      </c>
      <c r="S14" s="143" t="s">
        <v>32</v>
      </c>
      <c r="T14" s="166"/>
      <c r="U14" s="153">
        <f>SUM(U5:U12)</f>
        <v>0</v>
      </c>
      <c r="V14" s="144"/>
      <c r="W14" s="179">
        <f>+W13</f>
        <v>0</v>
      </c>
      <c r="X14" s="180"/>
      <c r="Y14" s="181">
        <f>+Y13</f>
        <v>0</v>
      </c>
      <c r="Z14" s="160">
        <f>+U14+W14+Y14</f>
        <v>0</v>
      </c>
      <c r="AA14" s="152"/>
      <c r="AB14" s="130"/>
      <c r="AC14" s="133" t="s">
        <v>34</v>
      </c>
      <c r="AD14" s="153">
        <f>+(AD13*10%)/90%</f>
        <v>0</v>
      </c>
      <c r="AE14" s="153"/>
      <c r="AF14" s="153">
        <f>+(AF13*10%)/90%</f>
        <v>0</v>
      </c>
      <c r="AG14" s="159">
        <f>+AF14+AD14</f>
        <v>0</v>
      </c>
      <c r="AH14" s="133" t="s">
        <v>41</v>
      </c>
      <c r="AI14" s="166"/>
      <c r="AJ14" s="153">
        <f>SUM(AJ5:AJ12)</f>
        <v>0</v>
      </c>
      <c r="AK14" s="153"/>
      <c r="AL14" s="153">
        <f>+(AL13*40%)/60%</f>
        <v>0</v>
      </c>
      <c r="AM14" s="153"/>
      <c r="AN14" s="153">
        <f>+(AN13*40%)/60%</f>
        <v>0</v>
      </c>
      <c r="AO14" s="170">
        <f>+AN14+AL14+AJ14</f>
        <v>0</v>
      </c>
      <c r="AP14" s="174" t="s">
        <v>41</v>
      </c>
      <c r="AQ14" s="175"/>
      <c r="AR14" s="175"/>
      <c r="AS14" s="175">
        <f>+(AS13*20%)/80%</f>
        <v>0</v>
      </c>
      <c r="AT14" s="175"/>
      <c r="AU14" s="175">
        <f>+(AU13*20%)/80%</f>
        <v>0</v>
      </c>
      <c r="AV14" s="170">
        <f>+AU14+AS14</f>
        <v>0</v>
      </c>
      <c r="AW14" s="89"/>
      <c r="AX14" s="89"/>
      <c r="AY14" s="89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 s="118" customFormat="1" ht="15.75" thickBot="1" x14ac:dyDescent="0.3">
      <c r="A15" s="245" t="str">
        <f t="shared" si="15"/>
        <v>sábado</v>
      </c>
      <c r="B15" s="446"/>
      <c r="C15" s="441"/>
      <c r="D15" s="440"/>
      <c r="E15" s="440"/>
      <c r="F15" s="440"/>
      <c r="G15" s="440"/>
      <c r="H15" s="440"/>
      <c r="I15" s="440"/>
      <c r="J15" s="441"/>
      <c r="K15" s="445"/>
      <c r="L15" s="413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</row>
    <row r="16" spans="1:63" s="118" customFormat="1" ht="15.75" thickBot="1" x14ac:dyDescent="0.3">
      <c r="A16" s="245" t="str">
        <f t="shared" si="15"/>
        <v>sábado</v>
      </c>
      <c r="B16" s="446"/>
      <c r="C16" s="439"/>
      <c r="D16" s="440"/>
      <c r="E16" s="440"/>
      <c r="F16" s="440"/>
      <c r="G16" s="440"/>
      <c r="H16" s="440"/>
      <c r="I16" s="440"/>
      <c r="J16" s="441"/>
      <c r="K16" s="441"/>
      <c r="L16" s="413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</row>
    <row r="17" spans="1:63" s="118" customFormat="1" ht="15.75" thickBot="1" x14ac:dyDescent="0.3">
      <c r="A17" s="245" t="str">
        <f t="shared" si="15"/>
        <v>sábado</v>
      </c>
      <c r="B17" s="446"/>
      <c r="C17" s="441"/>
      <c r="D17" s="440"/>
      <c r="E17" s="440"/>
      <c r="F17" s="440"/>
      <c r="G17" s="440"/>
      <c r="H17" s="440"/>
      <c r="I17" s="440"/>
      <c r="J17" s="441"/>
      <c r="K17" s="441"/>
      <c r="L17" s="413"/>
      <c r="M17" s="116"/>
      <c r="N17" s="116"/>
      <c r="O17" s="116"/>
      <c r="P17" s="116"/>
      <c r="Q17" s="116"/>
      <c r="R17" s="137"/>
      <c r="S17" s="116"/>
      <c r="T17" s="116"/>
      <c r="U17" s="116"/>
      <c r="V17" s="116"/>
      <c r="W17" s="116"/>
      <c r="X17" s="116"/>
      <c r="Y17" s="116"/>
      <c r="Z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</row>
    <row r="18" spans="1:63" ht="13.5" customHeight="1" thickBot="1" x14ac:dyDescent="0.3">
      <c r="A18" s="245" t="str">
        <f t="shared" si="15"/>
        <v>sábado</v>
      </c>
      <c r="B18" s="446"/>
      <c r="C18" s="441"/>
      <c r="D18" s="440"/>
      <c r="E18" s="440"/>
      <c r="F18" s="440"/>
      <c r="G18" s="440"/>
      <c r="H18" s="440"/>
      <c r="I18" s="440"/>
      <c r="J18" s="441"/>
      <c r="K18" s="441"/>
      <c r="L18" s="413"/>
      <c r="M18" s="659" t="s">
        <v>43</v>
      </c>
      <c r="N18" s="660"/>
      <c r="O18" s="660"/>
      <c r="P18" s="660"/>
      <c r="Q18" s="660"/>
      <c r="R18" s="660"/>
      <c r="S18" s="661"/>
      <c r="T18" s="659" t="s">
        <v>45</v>
      </c>
      <c r="U18" s="660"/>
      <c r="V18" s="660"/>
      <c r="W18" s="660"/>
      <c r="X18" s="660"/>
      <c r="Y18" s="660"/>
      <c r="Z18" s="661"/>
      <c r="AA18" s="672" t="s">
        <v>44</v>
      </c>
      <c r="AB18" s="673"/>
      <c r="AC18" s="673"/>
      <c r="AD18" s="673"/>
      <c r="AE18" s="673"/>
      <c r="AF18" s="673"/>
      <c r="AG18" s="674"/>
      <c r="AH18" s="659" t="s">
        <v>76</v>
      </c>
      <c r="AI18" s="660"/>
      <c r="AJ18" s="661"/>
      <c r="AK18" s="89"/>
      <c r="AL18" s="89"/>
      <c r="AM18" s="676" t="s">
        <v>101</v>
      </c>
      <c r="AN18" s="677"/>
      <c r="AO18" s="89"/>
      <c r="AP18" s="676" t="s">
        <v>100</v>
      </c>
      <c r="AQ18" s="677"/>
      <c r="AR18" s="89"/>
      <c r="AS18" s="89"/>
      <c r="AT18" s="89"/>
      <c r="AU18" s="89"/>
      <c r="AV18" s="89"/>
      <c r="AW18" s="89"/>
      <c r="AX18" s="89"/>
      <c r="AY18" s="89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 ht="15.75" thickBot="1" x14ac:dyDescent="0.3">
      <c r="A19" s="245" t="str">
        <f t="shared" si="15"/>
        <v>sábado</v>
      </c>
      <c r="B19" s="244"/>
      <c r="C19" s="450"/>
      <c r="D19" s="451"/>
      <c r="E19" s="451"/>
      <c r="F19" s="451"/>
      <c r="G19" s="451"/>
      <c r="H19" s="451"/>
      <c r="I19" s="451"/>
      <c r="J19" s="450"/>
      <c r="K19" s="89"/>
      <c r="L19" s="413"/>
      <c r="M19" s="124"/>
      <c r="N19" s="177">
        <v>70500</v>
      </c>
      <c r="O19" s="177">
        <v>70500</v>
      </c>
      <c r="P19" s="146"/>
      <c r="Q19" s="177">
        <v>83800</v>
      </c>
      <c r="R19" s="146"/>
      <c r="S19" s="164"/>
      <c r="T19" s="176"/>
      <c r="U19" s="63">
        <v>70500</v>
      </c>
      <c r="V19" s="63">
        <v>70500</v>
      </c>
      <c r="W19" s="63"/>
      <c r="X19" s="63">
        <v>83800</v>
      </c>
      <c r="Y19" s="63"/>
      <c r="Z19" s="164"/>
      <c r="AA19" s="145"/>
      <c r="AB19" s="63">
        <v>70500</v>
      </c>
      <c r="AC19" s="63">
        <v>70500</v>
      </c>
      <c r="AD19" s="63"/>
      <c r="AE19" s="63">
        <v>83800</v>
      </c>
      <c r="AF19" s="63"/>
      <c r="AG19" s="164"/>
      <c r="AH19" s="176"/>
      <c r="AI19" s="63">
        <v>72100</v>
      </c>
      <c r="AJ19" s="164"/>
      <c r="AK19" s="89"/>
      <c r="AL19" s="89"/>
      <c r="AM19" s="176" t="s">
        <v>26</v>
      </c>
      <c r="AN19" s="151">
        <f>+R14</f>
        <v>0</v>
      </c>
      <c r="AO19" s="89"/>
      <c r="AP19" s="176" t="s">
        <v>98</v>
      </c>
      <c r="AQ19" s="551">
        <f>+Z13</f>
        <v>0</v>
      </c>
      <c r="AR19" s="89"/>
      <c r="AS19" s="393"/>
      <c r="AT19" s="89"/>
      <c r="AU19" s="89"/>
      <c r="AV19" s="89"/>
      <c r="AW19" s="89"/>
      <c r="AX19" s="89"/>
      <c r="AY19" s="89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 ht="15.75" thickBot="1" x14ac:dyDescent="0.3">
      <c r="A20" s="245" t="str">
        <f t="shared" si="15"/>
        <v>sábado</v>
      </c>
      <c r="B20" s="244"/>
      <c r="C20" s="450"/>
      <c r="D20" s="451"/>
      <c r="E20" s="451"/>
      <c r="F20" s="451"/>
      <c r="G20" s="451"/>
      <c r="H20" s="451"/>
      <c r="I20" s="451"/>
      <c r="J20" s="450"/>
      <c r="K20" s="89"/>
      <c r="L20" s="413"/>
      <c r="M20" s="176" t="s">
        <v>22</v>
      </c>
      <c r="N20" s="63" t="s">
        <v>16</v>
      </c>
      <c r="O20" s="63" t="s">
        <v>17</v>
      </c>
      <c r="P20" s="138"/>
      <c r="Q20" s="63" t="s">
        <v>15</v>
      </c>
      <c r="R20" s="138"/>
      <c r="S20" s="164" t="s">
        <v>10</v>
      </c>
      <c r="T20" s="176" t="s">
        <v>22</v>
      </c>
      <c r="U20" s="63" t="s">
        <v>37</v>
      </c>
      <c r="V20" s="63" t="s">
        <v>39</v>
      </c>
      <c r="W20" s="63"/>
      <c r="X20" s="63" t="s">
        <v>15</v>
      </c>
      <c r="Y20" s="63"/>
      <c r="Z20" s="164" t="s">
        <v>28</v>
      </c>
      <c r="AA20" s="182" t="s">
        <v>22</v>
      </c>
      <c r="AB20" s="63" t="s">
        <v>16</v>
      </c>
      <c r="AC20" s="132" t="s">
        <v>17</v>
      </c>
      <c r="AD20" s="132"/>
      <c r="AE20" s="132" t="s">
        <v>40</v>
      </c>
      <c r="AF20" s="132"/>
      <c r="AG20" s="125" t="s">
        <v>47</v>
      </c>
      <c r="AH20" s="124" t="s">
        <v>5</v>
      </c>
      <c r="AI20" s="218"/>
      <c r="AJ20" s="125"/>
      <c r="AM20" s="176" t="s">
        <v>98</v>
      </c>
      <c r="AN20" s="151">
        <f>+Z14</f>
        <v>0</v>
      </c>
      <c r="AO20" s="89"/>
      <c r="AP20" s="176" t="s">
        <v>13</v>
      </c>
      <c r="AQ20" s="551">
        <f>+AG13</f>
        <v>0</v>
      </c>
      <c r="AR20" s="89"/>
      <c r="AS20" s="48"/>
      <c r="AT20" s="89"/>
      <c r="AU20" s="89"/>
      <c r="AV20" s="89"/>
      <c r="AW20" s="89"/>
      <c r="AX20" s="89"/>
      <c r="AY20" s="89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 ht="15.75" thickBot="1" x14ac:dyDescent="0.3">
      <c r="A21" s="245" t="str">
        <f t="shared" si="15"/>
        <v>sábado</v>
      </c>
      <c r="B21" s="244"/>
      <c r="C21" s="452"/>
      <c r="D21" s="451"/>
      <c r="E21" s="451"/>
      <c r="F21" s="451"/>
      <c r="G21" s="451"/>
      <c r="H21" s="451"/>
      <c r="I21" s="451"/>
      <c r="J21" s="450"/>
      <c r="K21" s="89"/>
      <c r="L21" s="413"/>
      <c r="M21" s="124">
        <v>1</v>
      </c>
      <c r="N21" s="132">
        <f>+COUNTIFS($J:$J,"PARTICULAR",$G:$G,"1",$I:$I,"mañana")</f>
        <v>0</v>
      </c>
      <c r="O21" s="132">
        <f>+COUNTIFS($J:$J,"PARTICULAR",$G:$G,"1",$I:$I,"TARDE")</f>
        <v>0</v>
      </c>
      <c r="P21" s="138">
        <f>+(O21+N21)*$O$19*M21</f>
        <v>0</v>
      </c>
      <c r="Q21" s="132">
        <f>+COUNTIFS($J:$J,"PARTICULAR",$G:$G,"1",$I:$I,"NOCHE")</f>
        <v>0</v>
      </c>
      <c r="R21" s="138">
        <f>+Q21*$Q$19</f>
        <v>0</v>
      </c>
      <c r="S21" s="139">
        <f>+R21+P21</f>
        <v>0</v>
      </c>
      <c r="T21" s="176">
        <v>1</v>
      </c>
      <c r="U21" s="132">
        <f>+COUNTIFS($J:$J,"facultad",$G:$G,"1",$I:$I,"mañana")</f>
        <v>0</v>
      </c>
      <c r="V21" s="132">
        <f>+COUNTIFS($J:$J,"facultad",$G:$G,"1",$I:$I,"tarde")</f>
        <v>0</v>
      </c>
      <c r="W21" s="138">
        <f>+(V21+U21)*$V$19*T21</f>
        <v>0</v>
      </c>
      <c r="X21" s="132">
        <f>+COUNTIFS($J:$J,"facultad",$G:$G,"1",$I:$I,"noche")</f>
        <v>0</v>
      </c>
      <c r="Y21" s="138">
        <f>+$X$19*X21</f>
        <v>0</v>
      </c>
      <c r="Z21" s="138">
        <f>+Y21+W21</f>
        <v>0</v>
      </c>
      <c r="AA21" s="145">
        <v>1</v>
      </c>
      <c r="AB21" s="132">
        <f>+COUNTIFS($J:$J,"convenio",$G:$G,"1",$I:$I,"mañana")</f>
        <v>0</v>
      </c>
      <c r="AC21" s="132">
        <f>+COUNTIFS($J:$J,"convenio",$G:$G,"1",$I:$I,"tarde")</f>
        <v>0</v>
      </c>
      <c r="AD21" s="154">
        <f>+(AC21+AB21)*$AC$19*AA21</f>
        <v>0</v>
      </c>
      <c r="AE21" s="132">
        <f>+COUNTIFS($J:$J,"convenio",$G:$G,"1",$I:$I,"noche")</f>
        <v>0</v>
      </c>
      <c r="AF21" s="132">
        <f>+AE21*$AE$19</f>
        <v>0</v>
      </c>
      <c r="AG21" s="183">
        <f>+AF21+AD21</f>
        <v>0</v>
      </c>
      <c r="AH21" s="145">
        <v>1</v>
      </c>
      <c r="AI21" s="218">
        <f>+COUNTIFS($J:$J,"TORNEO",$G:$G,"1")</f>
        <v>0</v>
      </c>
      <c r="AJ21" s="125">
        <f>+AI21*$AI$19*AH21</f>
        <v>0</v>
      </c>
      <c r="AM21" s="176" t="s">
        <v>13</v>
      </c>
      <c r="AN21" s="151">
        <f>+AG14</f>
        <v>0</v>
      </c>
      <c r="AO21" s="89"/>
      <c r="AP21" s="176" t="s">
        <v>24</v>
      </c>
      <c r="AQ21" s="551">
        <f>+AO13</f>
        <v>0</v>
      </c>
      <c r="AR21" s="89"/>
      <c r="AS21" s="393"/>
      <c r="AT21" s="89"/>
      <c r="AU21" s="89"/>
      <c r="AV21" s="89"/>
      <c r="AW21" s="89"/>
      <c r="AX21" s="89"/>
      <c r="AY21" s="89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 ht="15.75" thickBot="1" x14ac:dyDescent="0.3">
      <c r="A22" s="245" t="str">
        <f t="shared" si="15"/>
        <v>sábado</v>
      </c>
      <c r="B22" s="244"/>
      <c r="C22" s="453"/>
      <c r="D22" s="440"/>
      <c r="E22" s="120"/>
      <c r="F22" s="120"/>
      <c r="G22" s="120"/>
      <c r="H22" s="120"/>
      <c r="I22" s="451"/>
      <c r="J22" s="450"/>
      <c r="K22" s="89"/>
      <c r="L22" s="413"/>
      <c r="M22" s="124">
        <v>2</v>
      </c>
      <c r="N22" s="132">
        <f>+COUNTIFS($J:$J,"PARTICULAR",$G:$G,"2",$I:$I,"mañana")</f>
        <v>0</v>
      </c>
      <c r="O22" s="132">
        <f>+COUNTIFS($J:$J,"PARTICULAR",$G:$G,"2",$I:$I,"TARDE")</f>
        <v>0</v>
      </c>
      <c r="P22" s="138">
        <f t="shared" ref="P22:P28" si="16">+(O22+N22)*$O$19*M22</f>
        <v>0</v>
      </c>
      <c r="Q22" s="132">
        <f>+COUNTIFS($J:$J,"PARTICULAR",$G:$G,"2",$I:$I,"NOCHE")</f>
        <v>0</v>
      </c>
      <c r="R22" s="138">
        <f t="shared" ref="R22:R28" si="17">+Q22*$Q$19</f>
        <v>0</v>
      </c>
      <c r="S22" s="139">
        <f t="shared" ref="S22:S28" si="18">+R22+P22</f>
        <v>0</v>
      </c>
      <c r="T22" s="176">
        <v>2</v>
      </c>
      <c r="U22" s="132">
        <f>+COUNTIFS($J:$J,"facultad",$G:$G,"2",$I:$I,"mañana")</f>
        <v>0</v>
      </c>
      <c r="V22" s="132">
        <f>+COUNTIFS($J:$J,"facultad",$G:$G,"2",$I:$I,"tarde")</f>
        <v>0</v>
      </c>
      <c r="W22" s="138">
        <f t="shared" ref="W22:W28" si="19">+(V22+U22)*$V$19*T22</f>
        <v>0</v>
      </c>
      <c r="X22" s="132">
        <f>+COUNTIFS($J:$J,"facultad",$G:$G,"2",$I:$I,"noche")</f>
        <v>0</v>
      </c>
      <c r="Y22" s="138">
        <f t="shared" ref="Y22:Y28" si="20">+$X$19*X22</f>
        <v>0</v>
      </c>
      <c r="Z22" s="138">
        <f t="shared" ref="Z22:Z28" si="21">+Y22+W22</f>
        <v>0</v>
      </c>
      <c r="AA22" s="145">
        <v>2</v>
      </c>
      <c r="AB22" s="132">
        <f>+COUNTIFS($J:$J,"convenio",$G:$G,"2",$I:$I,"mañana")</f>
        <v>0</v>
      </c>
      <c r="AC22" s="132">
        <f>+COUNTIFS($J:$J,"convenio",$G:$G,"2",$I:$I,"tarde")</f>
        <v>0</v>
      </c>
      <c r="AD22" s="154">
        <f t="shared" ref="AD22:AD28" si="22">+(AC22+AB22)*$AC$19*AA22</f>
        <v>0</v>
      </c>
      <c r="AE22" s="132">
        <f>+COUNTIFS($J:$J,"convenio",$G:$G,"2",$I:$I,"noche")</f>
        <v>0</v>
      </c>
      <c r="AF22" s="132">
        <f t="shared" ref="AF22:AF28" si="23">+AE22*$AE$19</f>
        <v>0</v>
      </c>
      <c r="AG22" s="183">
        <f t="shared" ref="AG22:AG28" si="24">+AF22+AD22</f>
        <v>0</v>
      </c>
      <c r="AH22" s="145">
        <v>2</v>
      </c>
      <c r="AI22" s="218">
        <f>+COUNTIFS($J:$J,"TORNEO",$G:$G,"2")</f>
        <v>0</v>
      </c>
      <c r="AJ22" s="125">
        <f t="shared" ref="AJ22:AJ28" si="25">+AI22*$AI$19*AH22</f>
        <v>0</v>
      </c>
      <c r="AK22" s="89"/>
      <c r="AL22" s="89"/>
      <c r="AM22" s="176" t="s">
        <v>24</v>
      </c>
      <c r="AN22" s="151">
        <f>+AO14</f>
        <v>0</v>
      </c>
      <c r="AO22" s="89"/>
      <c r="AP22" s="176" t="s">
        <v>42</v>
      </c>
      <c r="AQ22" s="551">
        <f>+AV13</f>
        <v>0</v>
      </c>
      <c r="AS22" s="394"/>
      <c r="AT22" s="89"/>
      <c r="AU22" s="89"/>
      <c r="AV22" s="89"/>
      <c r="AW22" s="89"/>
      <c r="AX22" s="89"/>
      <c r="AY22" s="89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 ht="15.75" thickBot="1" x14ac:dyDescent="0.3">
      <c r="A23" s="245" t="str">
        <f t="shared" si="15"/>
        <v>sábado</v>
      </c>
      <c r="B23" s="244"/>
      <c r="C23" s="450"/>
      <c r="D23" s="451"/>
      <c r="E23" s="451"/>
      <c r="F23" s="451"/>
      <c r="G23" s="451"/>
      <c r="H23" s="451"/>
      <c r="I23" s="451"/>
      <c r="J23" s="453"/>
      <c r="K23" s="89"/>
      <c r="L23" s="413"/>
      <c r="M23" s="124">
        <v>3</v>
      </c>
      <c r="N23" s="132">
        <f>+COUNTIFS($J:$J,"PARTICULAR",$G:$G,"3",$I:$I,"mañana")</f>
        <v>0</v>
      </c>
      <c r="O23" s="132">
        <f>+COUNTIFS($J:$J,"PARTICULAR",$G:$G,"3",$I:$I,"TARDE")</f>
        <v>0</v>
      </c>
      <c r="P23" s="138">
        <f t="shared" si="16"/>
        <v>0</v>
      </c>
      <c r="Q23" s="132">
        <f>+COUNTIFS($J:$J,"PARTICULAR",$G:$G,"3",$I:$I,"NOCHE")</f>
        <v>0</v>
      </c>
      <c r="R23" s="138">
        <f t="shared" si="17"/>
        <v>0</v>
      </c>
      <c r="S23" s="139">
        <f t="shared" si="18"/>
        <v>0</v>
      </c>
      <c r="T23" s="176">
        <v>3</v>
      </c>
      <c r="U23" s="132">
        <f>+COUNTIFS($J:$J,"facultad",$G:$G,"3",$I:$I,"mañana")</f>
        <v>0</v>
      </c>
      <c r="V23" s="132">
        <f>+COUNTIFS($J:$J,"facultad",$G:$G,"3",$I:$I,"tarde")</f>
        <v>0</v>
      </c>
      <c r="W23" s="138">
        <f t="shared" si="19"/>
        <v>0</v>
      </c>
      <c r="X23" s="132">
        <f>+COUNTIFS($J:$J,"facultad",$G:$G,"3",$I:$I,"noche")</f>
        <v>0</v>
      </c>
      <c r="Y23" s="138">
        <f t="shared" si="20"/>
        <v>0</v>
      </c>
      <c r="Z23" s="138">
        <f t="shared" si="21"/>
        <v>0</v>
      </c>
      <c r="AA23" s="145">
        <v>3</v>
      </c>
      <c r="AB23" s="132">
        <f>+COUNTIFS($J:$J,"convenio",$G:$G,"3",$I:$I,"mañana")</f>
        <v>0</v>
      </c>
      <c r="AC23" s="132">
        <f>+COUNTIFS($J:$J,"convenio",$G:$G,"3",$I:$I,"tarde")</f>
        <v>0</v>
      </c>
      <c r="AD23" s="154">
        <f t="shared" si="22"/>
        <v>0</v>
      </c>
      <c r="AE23" s="132">
        <f>+COUNTIFS($J:$J,"convenio",$G:$G,"3",$I:$I,"noche")</f>
        <v>0</v>
      </c>
      <c r="AF23" s="132">
        <f t="shared" si="23"/>
        <v>0</v>
      </c>
      <c r="AG23" s="183">
        <f t="shared" si="24"/>
        <v>0</v>
      </c>
      <c r="AH23" s="145">
        <v>3</v>
      </c>
      <c r="AI23" s="218">
        <f>+COUNTIFS($J:$J,"TORNEO",$G:$G,"3")</f>
        <v>0</v>
      </c>
      <c r="AJ23" s="125">
        <f t="shared" si="25"/>
        <v>0</v>
      </c>
      <c r="AK23" s="89"/>
      <c r="AL23" s="89"/>
      <c r="AM23" s="176" t="s">
        <v>42</v>
      </c>
      <c r="AN23" s="155">
        <f>+AV14</f>
        <v>0</v>
      </c>
      <c r="AO23" s="89"/>
      <c r="AP23" s="176" t="s">
        <v>102</v>
      </c>
      <c r="AQ23" s="551">
        <f>+S29</f>
        <v>0</v>
      </c>
      <c r="AS23" s="22"/>
      <c r="AT23" s="89"/>
      <c r="AU23" s="89"/>
      <c r="AV23" s="89"/>
      <c r="AW23" s="89"/>
      <c r="AX23" s="89"/>
      <c r="AY23" s="89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 ht="15.75" thickBot="1" x14ac:dyDescent="0.3">
      <c r="A24" s="245" t="str">
        <f t="shared" si="15"/>
        <v>sábado</v>
      </c>
      <c r="B24" s="244"/>
      <c r="C24" s="452"/>
      <c r="D24" s="451"/>
      <c r="E24" s="451"/>
      <c r="F24" s="451"/>
      <c r="G24" s="451"/>
      <c r="H24" s="451"/>
      <c r="I24" s="451"/>
      <c r="J24" s="450"/>
      <c r="K24" s="42"/>
      <c r="L24" s="413"/>
      <c r="M24" s="124">
        <v>4</v>
      </c>
      <c r="N24" s="132">
        <f>+COUNTIFS($J:$J,"PARTICULAR",$G:$G,"4",$I:$I,"mañana")</f>
        <v>0</v>
      </c>
      <c r="O24" s="132">
        <f>+COUNTIFS($J:$J,"PARTICULAR",$G:$G,"4",$I:$I,"TARDE")</f>
        <v>0</v>
      </c>
      <c r="P24" s="138">
        <f t="shared" si="16"/>
        <v>0</v>
      </c>
      <c r="Q24" s="132">
        <f>+COUNTIFS($J:$J,"PARTICULAR",$G:$G,"4",$I:$I,"NOCHE")</f>
        <v>0</v>
      </c>
      <c r="R24" s="138">
        <f t="shared" si="17"/>
        <v>0</v>
      </c>
      <c r="S24" s="139">
        <f t="shared" si="18"/>
        <v>0</v>
      </c>
      <c r="T24" s="176">
        <v>4</v>
      </c>
      <c r="U24" s="132">
        <f>+COUNTIFS($J:$J,"facultad",$G:$G,"4",$I:$I,"mañana")</f>
        <v>0</v>
      </c>
      <c r="V24" s="132">
        <f>+COUNTIFS($J:$J,"facultad",$G:$G,"4",$I:$I,"tarde")</f>
        <v>0</v>
      </c>
      <c r="W24" s="138">
        <f t="shared" si="19"/>
        <v>0</v>
      </c>
      <c r="X24" s="132">
        <f>+COUNTIFS($J:$J,"facultad",$G:$G,"4",$I:$I,"noche")</f>
        <v>0</v>
      </c>
      <c r="Y24" s="138">
        <f t="shared" si="20"/>
        <v>0</v>
      </c>
      <c r="Z24" s="138">
        <f t="shared" si="21"/>
        <v>0</v>
      </c>
      <c r="AA24" s="145">
        <v>4</v>
      </c>
      <c r="AB24" s="132">
        <f>+COUNTIFS($J:$J,"convenio",$G:$G,"4",$I:$I,"mañana")</f>
        <v>0</v>
      </c>
      <c r="AC24" s="132">
        <f>+COUNTIFS($J:$J,"convenio",$G:$G,"4",$I:$I,"tarde")</f>
        <v>0</v>
      </c>
      <c r="AD24" s="154">
        <f t="shared" si="22"/>
        <v>0</v>
      </c>
      <c r="AE24" s="132">
        <f>+COUNTIFS($J:$J,"convenio",$G:$G,"4",$I:$I,"noche")</f>
        <v>0</v>
      </c>
      <c r="AF24" s="132">
        <f t="shared" si="23"/>
        <v>0</v>
      </c>
      <c r="AG24" s="183">
        <f t="shared" si="24"/>
        <v>0</v>
      </c>
      <c r="AH24" s="145">
        <v>4</v>
      </c>
      <c r="AI24" s="218">
        <f>+COUNTIFS($J:$J,"TORNEO",$G:$G,"4")</f>
        <v>0</v>
      </c>
      <c r="AJ24" s="125">
        <f>+AI24*$AI$19*AH24</f>
        <v>0</v>
      </c>
      <c r="AK24" s="89"/>
      <c r="AL24" s="89"/>
      <c r="AM24" s="176" t="s">
        <v>99</v>
      </c>
      <c r="AN24" s="151">
        <f>+Z29</f>
        <v>0</v>
      </c>
      <c r="AO24" s="89"/>
      <c r="AP24" s="176" t="s">
        <v>76</v>
      </c>
      <c r="AQ24" s="551">
        <f>+AJ29</f>
        <v>0</v>
      </c>
      <c r="AR24" s="89"/>
      <c r="AS24" s="393"/>
      <c r="AT24" s="89"/>
      <c r="AU24" s="168"/>
      <c r="AV24" s="89"/>
      <c r="AW24" s="89"/>
      <c r="AX24" s="89"/>
      <c r="AY24" s="89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 ht="15.75" thickBot="1" x14ac:dyDescent="0.3">
      <c r="A25" s="245" t="str">
        <f t="shared" si="15"/>
        <v>sábado</v>
      </c>
      <c r="B25" s="244"/>
      <c r="C25" s="450"/>
      <c r="D25" s="451"/>
      <c r="E25" s="451"/>
      <c r="F25" s="451"/>
      <c r="G25" s="451"/>
      <c r="H25" s="451"/>
      <c r="I25" s="451"/>
      <c r="J25" s="450"/>
      <c r="K25" s="63"/>
      <c r="L25" s="413"/>
      <c r="M25" s="124">
        <v>5</v>
      </c>
      <c r="N25" s="132">
        <f>+COUNTIFS($J:$J,"PARTICULAR",$G:$G,"5",$I:$I,"mañana")</f>
        <v>0</v>
      </c>
      <c r="O25" s="132">
        <f>+COUNTIFS($J:$J,"PARTICULAR",$G:$G,"5",$I:$I,"TARDE")</f>
        <v>0</v>
      </c>
      <c r="P25" s="138">
        <f t="shared" si="16"/>
        <v>0</v>
      </c>
      <c r="Q25" s="132">
        <f>+COUNTIFS($J:$J,"PARTICULAR",$G:$G,"5",$I:$I,"NOCHE")</f>
        <v>0</v>
      </c>
      <c r="R25" s="138">
        <f t="shared" si="17"/>
        <v>0</v>
      </c>
      <c r="S25" s="139">
        <f t="shared" si="18"/>
        <v>0</v>
      </c>
      <c r="T25" s="178">
        <v>5</v>
      </c>
      <c r="U25" s="132">
        <f>+COUNTIFS($J:$J,"facultad",$G:$G,"5",$I:$I,"mañana")</f>
        <v>0</v>
      </c>
      <c r="V25" s="132">
        <f>+COUNTIFS($J:$J,"facultad",$G:$G,"5",$I:$I,"tarde")</f>
        <v>0</v>
      </c>
      <c r="W25" s="138">
        <f t="shared" si="19"/>
        <v>0</v>
      </c>
      <c r="X25" s="132">
        <f>+COUNTIFS($J:$J,"facultad",$G:$G,"5",$I:$I,"noche")</f>
        <v>0</v>
      </c>
      <c r="Y25" s="138">
        <f t="shared" si="20"/>
        <v>0</v>
      </c>
      <c r="Z25" s="138">
        <f t="shared" si="21"/>
        <v>0</v>
      </c>
      <c r="AA25" s="145">
        <v>5</v>
      </c>
      <c r="AB25" s="132">
        <f>+COUNTIFS($J:$J,"convenio",$G:$G,"5",$I:$I,"mañana")</f>
        <v>0</v>
      </c>
      <c r="AC25" s="132">
        <f>+COUNTIFS($J:$J,"convenio",$G:$G,"5",$I:$I,"tarde")</f>
        <v>0</v>
      </c>
      <c r="AD25" s="154">
        <f t="shared" si="22"/>
        <v>0</v>
      </c>
      <c r="AE25" s="132">
        <f>+COUNTIFS($J:$J,"convenio",$G:$G,"5",$I:$I,"noche")</f>
        <v>0</v>
      </c>
      <c r="AF25" s="132">
        <f t="shared" si="23"/>
        <v>0</v>
      </c>
      <c r="AG25" s="183">
        <f t="shared" si="24"/>
        <v>0</v>
      </c>
      <c r="AH25" s="145">
        <v>5</v>
      </c>
      <c r="AI25" s="218">
        <f>+COUNTIFS($J:$J,"TORNEO",$G:$G,"5")</f>
        <v>0</v>
      </c>
      <c r="AJ25" s="125">
        <f t="shared" si="25"/>
        <v>0</v>
      </c>
      <c r="AK25" s="42"/>
      <c r="AL25" s="42"/>
      <c r="AM25" s="176" t="s">
        <v>19</v>
      </c>
      <c r="AN25" s="151">
        <f>+AG29</f>
        <v>0</v>
      </c>
      <c r="AO25" s="42"/>
      <c r="AP25" s="176" t="s">
        <v>218</v>
      </c>
      <c r="AQ25" s="551">
        <f>+AI36</f>
        <v>0</v>
      </c>
      <c r="AR25" s="42"/>
      <c r="AS25" s="505"/>
      <c r="AT25" s="505"/>
      <c r="AU25" s="505"/>
      <c r="AV25" s="42"/>
      <c r="AW25" s="238"/>
      <c r="AX25" s="42"/>
      <c r="AY25" s="42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 s="118" customFormat="1" ht="15.75" thickBot="1" x14ac:dyDescent="0.3">
      <c r="A26" s="245" t="str">
        <f t="shared" si="15"/>
        <v>sábado</v>
      </c>
      <c r="B26" s="244"/>
      <c r="C26" s="450"/>
      <c r="D26" s="455"/>
      <c r="E26" s="451"/>
      <c r="F26" s="451"/>
      <c r="G26" s="451"/>
      <c r="H26" s="451"/>
      <c r="I26" s="451"/>
      <c r="J26" s="450"/>
      <c r="K26" s="63"/>
      <c r="L26" s="413"/>
      <c r="M26" s="124">
        <v>6</v>
      </c>
      <c r="N26" s="132">
        <f>+COUNTIFS($J:$J,"PARTICULAR",$G:$G,"6",$I:$I,"mañana")</f>
        <v>0</v>
      </c>
      <c r="O26" s="132">
        <f>+COUNTIFS($J:$J,"PARTICULAR",$G:$G,"6",$I:$I,"TARDE")</f>
        <v>0</v>
      </c>
      <c r="P26" s="138">
        <f t="shared" si="16"/>
        <v>0</v>
      </c>
      <c r="Q26" s="132">
        <f>+COUNTIFS($J:$J,"PARTICULAR",$G:$G,"6",$I:$I,"NOCHE")</f>
        <v>0</v>
      </c>
      <c r="R26" s="138">
        <f t="shared" si="17"/>
        <v>0</v>
      </c>
      <c r="S26" s="139">
        <f t="shared" si="18"/>
        <v>0</v>
      </c>
      <c r="T26" s="176">
        <v>6</v>
      </c>
      <c r="U26" s="132">
        <f>+COUNTIFS($J:$J,"facultad",$G:$G,"6",$I:$I,"mañana")</f>
        <v>0</v>
      </c>
      <c r="V26" s="132">
        <f>+COUNTIFS($J:$J,"facultad",$G:$G,"6",$I:$I,"tarde")</f>
        <v>0</v>
      </c>
      <c r="W26" s="138">
        <f t="shared" si="19"/>
        <v>0</v>
      </c>
      <c r="X26" s="132">
        <f>+COUNTIFS($J:$J,"facultad",$G:$G,"6",$I:$I,"noche")</f>
        <v>0</v>
      </c>
      <c r="Y26" s="138">
        <f t="shared" si="20"/>
        <v>0</v>
      </c>
      <c r="Z26" s="138">
        <f t="shared" si="21"/>
        <v>0</v>
      </c>
      <c r="AA26" s="145">
        <v>6</v>
      </c>
      <c r="AB26" s="132">
        <f>+COUNTIFS($J:$J,"convenio",$G:$G,"6",$I:$I,"mañana")</f>
        <v>0</v>
      </c>
      <c r="AC26" s="132">
        <f>+COUNTIFS($J:$J,"convenio",$G:$G,"6",$I:$I,"tarde")</f>
        <v>0</v>
      </c>
      <c r="AD26" s="154">
        <f t="shared" si="22"/>
        <v>0</v>
      </c>
      <c r="AE26" s="132">
        <f>+COUNTIFS($J:$J,"convenio",$G:$G,"6",$I:$I,"noche")</f>
        <v>0</v>
      </c>
      <c r="AF26" s="132">
        <f t="shared" si="23"/>
        <v>0</v>
      </c>
      <c r="AG26" s="183">
        <f t="shared" si="24"/>
        <v>0</v>
      </c>
      <c r="AH26" s="145">
        <v>6</v>
      </c>
      <c r="AI26" s="218">
        <f>+COUNTIFS($J:$J,"TORNEO",$G:$G,"6")</f>
        <v>0</v>
      </c>
      <c r="AJ26" s="125">
        <f>+AI26*$AI$19*AH26</f>
        <v>0</v>
      </c>
      <c r="AK26" s="114"/>
      <c r="AL26" s="114"/>
      <c r="AM26" s="176" t="s">
        <v>50</v>
      </c>
      <c r="AN26" s="151">
        <f>+S37</f>
        <v>0</v>
      </c>
      <c r="AO26" s="114"/>
      <c r="AP26" s="216" t="s">
        <v>104</v>
      </c>
      <c r="AQ26" s="552">
        <f>SUM(AQ19:AQ25)</f>
        <v>0</v>
      </c>
      <c r="AR26" s="114"/>
      <c r="AS26" s="114"/>
      <c r="AT26" s="114"/>
      <c r="AU26" s="114"/>
      <c r="AV26" s="114"/>
      <c r="AW26" s="114"/>
      <c r="AX26" s="114"/>
      <c r="AY26" s="114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</row>
    <row r="27" spans="1:63" s="118" customFormat="1" ht="15.75" thickBot="1" x14ac:dyDescent="0.3">
      <c r="A27" s="245" t="str">
        <f t="shared" si="15"/>
        <v>sábado</v>
      </c>
      <c r="B27" s="244"/>
      <c r="C27" s="450"/>
      <c r="D27" s="438"/>
      <c r="E27" s="451"/>
      <c r="F27" s="451"/>
      <c r="G27" s="451"/>
      <c r="H27" s="451"/>
      <c r="I27" s="451"/>
      <c r="J27" s="450"/>
      <c r="K27" s="89"/>
      <c r="L27" s="413"/>
      <c r="M27" s="124">
        <v>7</v>
      </c>
      <c r="N27" s="132">
        <f>+COUNTIFS($J:$J,"PARTICULAR",$G:$G,"7",$I:$I,"mañana")</f>
        <v>0</v>
      </c>
      <c r="O27" s="132">
        <f>+COUNTIFS($J:$J,"PARTICULAR",$G:$G,"7",$I:$I,"TARDE")</f>
        <v>0</v>
      </c>
      <c r="P27" s="138">
        <f t="shared" si="16"/>
        <v>0</v>
      </c>
      <c r="Q27" s="132">
        <f>+COUNTIFS($J:$J,"PARTICULAR",$G:$G,"7",$I:$I,"NOCHE")</f>
        <v>0</v>
      </c>
      <c r="R27" s="138">
        <f t="shared" si="17"/>
        <v>0</v>
      </c>
      <c r="S27" s="139">
        <f t="shared" si="18"/>
        <v>0</v>
      </c>
      <c r="T27" s="176">
        <v>7</v>
      </c>
      <c r="U27" s="132">
        <f>+COUNTIFS($J:$J,"facultad",$G:$G,"7",$I:$I,"mañana")</f>
        <v>0</v>
      </c>
      <c r="V27" s="132">
        <f>+COUNTIFS($J:$J,"facultad",$G:$G,"7",$I:$I,"tarde")</f>
        <v>0</v>
      </c>
      <c r="W27" s="138">
        <f t="shared" si="19"/>
        <v>0</v>
      </c>
      <c r="X27" s="132">
        <f>+COUNTIFS($J:$J,"facultad",$G:$G,"7",$I:$I,"noche")</f>
        <v>0</v>
      </c>
      <c r="Y27" s="138">
        <f t="shared" si="20"/>
        <v>0</v>
      </c>
      <c r="Z27" s="138">
        <f t="shared" si="21"/>
        <v>0</v>
      </c>
      <c r="AA27" s="145">
        <v>7</v>
      </c>
      <c r="AB27" s="132">
        <f>+COUNTIFS($J:$J,"convenio",$G:$G,"7",$I:$I,"mañana")</f>
        <v>0</v>
      </c>
      <c r="AC27" s="132">
        <f>+COUNTIFS($J:$J,"convenio",$G:$G,"7",$I:$I,"tarde")</f>
        <v>0</v>
      </c>
      <c r="AD27" s="154">
        <f t="shared" si="22"/>
        <v>0</v>
      </c>
      <c r="AE27" s="132">
        <f>+COUNTIFS($J:$J,"convenio",$G:$G,"7",$I:$I,"noche")</f>
        <v>0</v>
      </c>
      <c r="AF27" s="132">
        <f t="shared" si="23"/>
        <v>0</v>
      </c>
      <c r="AG27" s="183">
        <f t="shared" si="24"/>
        <v>0</v>
      </c>
      <c r="AH27" s="145">
        <v>7</v>
      </c>
      <c r="AI27" s="218">
        <f>+COUNTIFS($J:$J,"TORNEO",$G:$G,"7")</f>
        <v>0</v>
      </c>
      <c r="AJ27" s="125">
        <f t="shared" si="25"/>
        <v>0</v>
      </c>
      <c r="AK27" s="114"/>
      <c r="AL27" s="114"/>
      <c r="AM27" s="176" t="s">
        <v>61</v>
      </c>
      <c r="AN27" s="151">
        <f>+Z37</f>
        <v>0</v>
      </c>
      <c r="AO27" s="114"/>
      <c r="AP27" s="114"/>
      <c r="AQ27" s="382">
        <f>+Z13+AG13+AO13+AV13+S29+AJ29+AI36</f>
        <v>0</v>
      </c>
      <c r="AR27" s="120"/>
      <c r="AS27" s="395"/>
      <c r="AT27" s="120"/>
      <c r="AU27" s="114"/>
      <c r="AV27" s="114"/>
      <c r="AW27" s="114"/>
      <c r="AX27" s="114"/>
      <c r="AY27" s="114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</row>
    <row r="28" spans="1:63" s="118" customFormat="1" ht="15.75" thickBot="1" x14ac:dyDescent="0.3">
      <c r="A28" s="245" t="str">
        <f t="shared" si="15"/>
        <v>sábado</v>
      </c>
      <c r="B28" s="244"/>
      <c r="C28" s="450"/>
      <c r="D28" s="451"/>
      <c r="E28" s="451"/>
      <c r="F28" s="451"/>
      <c r="G28" s="451"/>
      <c r="H28" s="451"/>
      <c r="I28" s="451"/>
      <c r="J28" s="450"/>
      <c r="K28" s="89"/>
      <c r="L28" s="413"/>
      <c r="M28" s="124">
        <v>8</v>
      </c>
      <c r="N28" s="132">
        <f>+COUNTIFS($J:$J,"PARTICULAR",$G:$G,"8",$I:$I,"mañana")</f>
        <v>0</v>
      </c>
      <c r="O28" s="132">
        <f>+COUNTIFS($J:$J,"PARTICULAR",$G:$G,"8",$I:$I,"TARDE")</f>
        <v>0</v>
      </c>
      <c r="P28" s="138">
        <f t="shared" si="16"/>
        <v>0</v>
      </c>
      <c r="Q28" s="132">
        <f>+COUNTIFS($J:$J,"PARTICULAR",$G:$G,"8",$I:$I,"NOCHE")</f>
        <v>0</v>
      </c>
      <c r="R28" s="138">
        <f t="shared" si="17"/>
        <v>0</v>
      </c>
      <c r="S28" s="139">
        <f t="shared" si="18"/>
        <v>0</v>
      </c>
      <c r="T28" s="178">
        <v>8</v>
      </c>
      <c r="U28" s="132">
        <f>+COUNTIFS($J:$J,"facultad",$G:$G,"8",$I:$I,"mañana")</f>
        <v>0</v>
      </c>
      <c r="V28" s="132">
        <f>+COUNTIFS($J:$J,"facultad",$G:$G,"8",$I:$I,"tarde")</f>
        <v>0</v>
      </c>
      <c r="W28" s="138">
        <f t="shared" si="19"/>
        <v>0</v>
      </c>
      <c r="X28" s="132">
        <f>+COUNTIFS($J:$J,"facultad",$G:$G,"8",$I:$I,"noche")</f>
        <v>0</v>
      </c>
      <c r="Y28" s="138">
        <f t="shared" si="20"/>
        <v>0</v>
      </c>
      <c r="Z28" s="138">
        <f t="shared" si="21"/>
        <v>0</v>
      </c>
      <c r="AA28" s="152">
        <v>8</v>
      </c>
      <c r="AB28" s="136">
        <f>+COUNTIFS($J:$J,"convenio",$G:$G,"8",$I:$I,"mañana")</f>
        <v>0</v>
      </c>
      <c r="AC28" s="136">
        <f>+COUNTIFS($J:$J,"convenio",$G:$G,"8",$I:$I,"tarde")</f>
        <v>0</v>
      </c>
      <c r="AD28" s="169">
        <f t="shared" si="22"/>
        <v>0</v>
      </c>
      <c r="AE28" s="136">
        <f>+COUNTIFS($J:$J,"convenio",$G:$G,"8",$I:$I,"noche")</f>
        <v>0</v>
      </c>
      <c r="AF28" s="136">
        <f t="shared" si="23"/>
        <v>0</v>
      </c>
      <c r="AG28" s="184">
        <f t="shared" si="24"/>
        <v>0</v>
      </c>
      <c r="AH28" s="152">
        <v>8</v>
      </c>
      <c r="AI28" s="136">
        <f>+COUNTIFS($J:$J,"TORNEO",$G:$G,"8")</f>
        <v>0</v>
      </c>
      <c r="AJ28" s="236">
        <f t="shared" si="25"/>
        <v>0</v>
      </c>
      <c r="AK28" s="116"/>
      <c r="AL28" s="116"/>
      <c r="AM28" s="237" t="s">
        <v>103</v>
      </c>
      <c r="AN28" s="227">
        <f>SUM(AN19:AN27)</f>
        <v>0</v>
      </c>
      <c r="AO28" s="116"/>
      <c r="AP28" s="120"/>
      <c r="AQ28" s="120"/>
      <c r="AR28" s="120"/>
      <c r="AS28" s="395"/>
      <c r="AT28" s="395"/>
      <c r="AU28" s="116"/>
      <c r="AV28" s="116"/>
      <c r="AW28" s="116"/>
      <c r="AX28" s="116"/>
      <c r="AY28" s="116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</row>
    <row r="29" spans="1:63" s="118" customFormat="1" ht="15.75" thickBot="1" x14ac:dyDescent="0.3">
      <c r="A29" s="245" t="str">
        <f t="shared" si="15"/>
        <v>sábado</v>
      </c>
      <c r="B29" s="244"/>
      <c r="C29" s="452"/>
      <c r="D29" s="451"/>
      <c r="E29" s="451"/>
      <c r="F29" s="451"/>
      <c r="G29" s="451"/>
      <c r="H29" s="451"/>
      <c r="I29" s="451"/>
      <c r="J29" s="450"/>
      <c r="K29" s="42"/>
      <c r="L29" s="413"/>
      <c r="M29" s="233" t="s">
        <v>38</v>
      </c>
      <c r="N29" s="234"/>
      <c r="O29" s="234"/>
      <c r="P29" s="153">
        <f>SUM(P21:P28)</f>
        <v>0</v>
      </c>
      <c r="Q29" s="234"/>
      <c r="R29" s="153">
        <f>SUM(R21:R28)</f>
        <v>0</v>
      </c>
      <c r="S29" s="142">
        <f>+R29+P29</f>
        <v>0</v>
      </c>
      <c r="T29" s="233"/>
      <c r="U29" s="234"/>
      <c r="V29" s="234"/>
      <c r="W29" s="234"/>
      <c r="X29" s="234"/>
      <c r="Y29" s="153" t="s">
        <v>46</v>
      </c>
      <c r="Z29" s="142">
        <f>SUM(Z21:Z28)</f>
        <v>0</v>
      </c>
      <c r="AA29" s="233" t="s">
        <v>48</v>
      </c>
      <c r="AB29" s="234"/>
      <c r="AC29" s="234"/>
      <c r="AD29" s="234"/>
      <c r="AE29" s="234"/>
      <c r="AF29" s="234"/>
      <c r="AG29" s="160">
        <f>SUM(AG21:AG28)</f>
        <v>0</v>
      </c>
      <c r="AH29" s="223" t="s">
        <v>97</v>
      </c>
      <c r="AI29" s="223"/>
      <c r="AJ29" s="223">
        <f>SUM(AJ21:AJ28)</f>
        <v>0</v>
      </c>
      <c r="AK29" s="116"/>
      <c r="AL29" s="116"/>
      <c r="AN29" s="382">
        <f>+R14+Z14+AG14+AO14+AV14+Z29+AG29+S37+Z37</f>
        <v>0</v>
      </c>
      <c r="AO29" s="116"/>
      <c r="AP29" s="120"/>
      <c r="AQ29" s="120"/>
      <c r="AR29" s="120"/>
      <c r="AS29" s="120"/>
      <c r="AT29" s="120"/>
      <c r="AU29" s="116"/>
      <c r="AV29" s="116"/>
      <c r="AW29" s="116"/>
      <c r="AX29" s="116"/>
      <c r="AY29" s="116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</row>
    <row r="30" spans="1:63" s="118" customFormat="1" ht="15.75" thickBot="1" x14ac:dyDescent="0.3">
      <c r="A30" s="245" t="str">
        <f t="shared" si="15"/>
        <v>sábado</v>
      </c>
      <c r="B30" s="244"/>
      <c r="C30" s="452"/>
      <c r="D30" s="451"/>
      <c r="E30" s="451"/>
      <c r="F30" s="451"/>
      <c r="G30" s="451"/>
      <c r="H30" s="451"/>
      <c r="I30" s="451"/>
      <c r="J30" s="450"/>
      <c r="K30" s="89"/>
      <c r="L30" s="413"/>
      <c r="M30" s="119"/>
      <c r="N30" s="119"/>
      <c r="O30" s="119"/>
      <c r="P30" s="119"/>
      <c r="Q30" s="119"/>
      <c r="R30" s="138"/>
      <c r="S30" s="138"/>
      <c r="T30" s="119"/>
      <c r="U30" s="119"/>
      <c r="V30" s="119"/>
      <c r="W30" s="119"/>
      <c r="X30" s="119"/>
      <c r="Y30" s="119"/>
      <c r="Z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20"/>
      <c r="AQ30" s="120"/>
      <c r="AR30" s="120"/>
      <c r="AS30" s="120"/>
      <c r="AT30" s="120"/>
      <c r="AU30" s="119"/>
      <c r="AV30" s="119"/>
      <c r="AW30" s="119"/>
      <c r="AX30" s="119"/>
      <c r="AY30" s="119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</row>
    <row r="31" spans="1:63" ht="15.75" thickBot="1" x14ac:dyDescent="0.3">
      <c r="A31" s="245" t="str">
        <f t="shared" si="15"/>
        <v>sábado</v>
      </c>
      <c r="B31" s="244"/>
      <c r="C31" s="466"/>
      <c r="D31" s="451"/>
      <c r="E31" s="457"/>
      <c r="F31" s="458"/>
      <c r="G31" s="457"/>
      <c r="H31" s="457"/>
      <c r="I31" s="467"/>
      <c r="J31" s="464"/>
      <c r="K31" s="42"/>
      <c r="L31" s="413"/>
      <c r="M31" s="659" t="s">
        <v>50</v>
      </c>
      <c r="N31" s="660"/>
      <c r="O31" s="660"/>
      <c r="P31" s="660"/>
      <c r="Q31" s="660"/>
      <c r="R31" s="660"/>
      <c r="S31" s="661"/>
      <c r="T31" s="696" t="s">
        <v>61</v>
      </c>
      <c r="U31" s="697"/>
      <c r="V31" s="697"/>
      <c r="W31" s="697"/>
      <c r="X31" s="697"/>
      <c r="Y31" s="697"/>
      <c r="Z31" s="698"/>
      <c r="AB31" s="700" t="s">
        <v>218</v>
      </c>
      <c r="AC31" s="701"/>
      <c r="AD31" s="525"/>
      <c r="AE31" s="694" t="s">
        <v>220</v>
      </c>
      <c r="AF31" s="526" t="s">
        <v>12</v>
      </c>
      <c r="AG31" s="528" t="s">
        <v>233</v>
      </c>
      <c r="AH31" s="529"/>
      <c r="AI31" s="516" t="s">
        <v>185</v>
      </c>
      <c r="AJ31" s="89"/>
      <c r="AK31" s="89"/>
      <c r="AL31" s="89"/>
      <c r="AM31" s="89"/>
      <c r="AN31" s="89"/>
      <c r="AO31" s="89"/>
      <c r="AU31" s="89"/>
      <c r="AV31" s="89"/>
      <c r="AW31" s="89"/>
      <c r="AX31" s="89"/>
      <c r="AY31" s="89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 ht="15.75" thickBot="1" x14ac:dyDescent="0.3">
      <c r="A32" s="245" t="str">
        <f t="shared" si="15"/>
        <v>sábado</v>
      </c>
      <c r="B32" s="244"/>
      <c r="C32" s="468"/>
      <c r="D32" s="451"/>
      <c r="E32" s="451"/>
      <c r="F32" s="451"/>
      <c r="G32" s="451"/>
      <c r="H32" s="451"/>
      <c r="I32" s="469"/>
      <c r="J32" s="450"/>
      <c r="K32" s="42"/>
      <c r="L32" s="413"/>
      <c r="M32" s="134"/>
      <c r="N32" s="131">
        <v>70500</v>
      </c>
      <c r="O32" s="185">
        <v>70500</v>
      </c>
      <c r="P32" s="185"/>
      <c r="Q32" s="185">
        <v>83800</v>
      </c>
      <c r="R32" s="185"/>
      <c r="S32" s="186"/>
      <c r="T32" s="134"/>
      <c r="U32" s="131">
        <v>70500</v>
      </c>
      <c r="V32" s="185">
        <v>70500</v>
      </c>
      <c r="W32" s="185"/>
      <c r="X32" s="185">
        <v>83800</v>
      </c>
      <c r="Y32" s="185"/>
      <c r="Z32" s="186"/>
      <c r="AB32" s="405" t="s">
        <v>22</v>
      </c>
      <c r="AC32" s="404" t="s">
        <v>219</v>
      </c>
      <c r="AD32" s="527">
        <v>80000</v>
      </c>
      <c r="AE32" s="695"/>
      <c r="AF32" s="406">
        <v>17900</v>
      </c>
      <c r="AG32" s="408">
        <v>9500</v>
      </c>
      <c r="AH32" s="475"/>
      <c r="AI32" s="534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 ht="15.75" thickBot="1" x14ac:dyDescent="0.3">
      <c r="A33" s="245" t="str">
        <f t="shared" si="15"/>
        <v>sábado</v>
      </c>
      <c r="B33" s="244"/>
      <c r="C33" s="468"/>
      <c r="D33" s="451"/>
      <c r="E33" s="451"/>
      <c r="F33" s="451"/>
      <c r="G33" s="451"/>
      <c r="H33" s="451"/>
      <c r="I33" s="469"/>
      <c r="J33" s="450"/>
      <c r="K33" s="42"/>
      <c r="L33" s="413"/>
      <c r="M33" s="187" t="s">
        <v>22</v>
      </c>
      <c r="N33" s="188" t="s">
        <v>16</v>
      </c>
      <c r="O33" s="188" t="s">
        <v>17</v>
      </c>
      <c r="P33" s="189"/>
      <c r="Q33" s="188" t="s">
        <v>15</v>
      </c>
      <c r="R33" s="189"/>
      <c r="S33" s="194" t="s">
        <v>28</v>
      </c>
      <c r="T33" s="187" t="s">
        <v>22</v>
      </c>
      <c r="U33" s="188" t="s">
        <v>16</v>
      </c>
      <c r="V33" s="188" t="s">
        <v>17</v>
      </c>
      <c r="W33" s="189"/>
      <c r="X33" s="188" t="s">
        <v>15</v>
      </c>
      <c r="Y33" s="189"/>
      <c r="Z33" s="194" t="s">
        <v>28</v>
      </c>
      <c r="AB33" s="407">
        <v>1</v>
      </c>
      <c r="AC33" s="383">
        <f>+COUNTIFS($J:$J,"tarifas_especiales",$G:$G,"1",$K:$K,"supercampus")</f>
        <v>0</v>
      </c>
      <c r="AD33" s="532">
        <f>+AC33*$AD$32*AB33</f>
        <v>0</v>
      </c>
      <c r="AE33" s="385">
        <f>+COUNTIFS($J:$J,"tarifas_especiales",$G:$G,"1",$K:$K,"baloncesto particular")</f>
        <v>0</v>
      </c>
      <c r="AF33" s="406">
        <f>+AE33*$AF$32*AB33</f>
        <v>0</v>
      </c>
      <c r="AG33" s="385">
        <f>+COUNTIFS($J:$J,"tarifas_especiales",$G:$G,"1",$K:$K,"baloncesto est.")</f>
        <v>0</v>
      </c>
      <c r="AH33" s="527">
        <f>+$AG$32*AG33*AB33</f>
        <v>0</v>
      </c>
      <c r="AI33" s="535">
        <f>+AH33+AF33+AD33</f>
        <v>0</v>
      </c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 ht="15.75" thickBot="1" x14ac:dyDescent="0.3">
      <c r="A34" s="245" t="str">
        <f t="shared" si="15"/>
        <v>sábado</v>
      </c>
      <c r="B34" s="244"/>
      <c r="C34" s="468"/>
      <c r="D34" s="451"/>
      <c r="E34" s="451"/>
      <c r="F34" s="451"/>
      <c r="G34" s="451"/>
      <c r="H34" s="451"/>
      <c r="I34" s="469"/>
      <c r="J34" s="450"/>
      <c r="K34" s="89"/>
      <c r="L34" s="413"/>
      <c r="M34" s="124">
        <v>1</v>
      </c>
      <c r="N34" s="228">
        <f>+COUNTIFS($J:$J,"PARTICULAR cortesia",$G:$G,"1",$I:$I,"mañana")</f>
        <v>0</v>
      </c>
      <c r="O34" s="228">
        <f>+COUNTIFS($J:$J,"PARTICULAR cortesia",$G:$G,"1",$I:$I,"tarde")</f>
        <v>0</v>
      </c>
      <c r="P34" s="228">
        <f>+(N34+O34)*$O$32*M34</f>
        <v>0</v>
      </c>
      <c r="Q34" s="228">
        <f>+COUNTIFS($J:$J,"PARTICULAR cortesia",$G:$G,"1",$I:$I,"noche")</f>
        <v>0</v>
      </c>
      <c r="R34" s="228">
        <f>+Q34*$Q$32</f>
        <v>0</v>
      </c>
      <c r="S34" s="229">
        <f>+R34+P34</f>
        <v>0</v>
      </c>
      <c r="T34" s="124">
        <v>1</v>
      </c>
      <c r="U34" s="132">
        <f>+COUNTIFS($J:$J,"bono",$G:$G,"1",$I:$I,"mañana")</f>
        <v>0</v>
      </c>
      <c r="V34" s="132">
        <f>+COUNTIFS($J:$J,"bono",$G:$G,"1",$I:$I,"tarde")</f>
        <v>0</v>
      </c>
      <c r="W34" s="189">
        <f>+(V34+U34)*$V$32*T34</f>
        <v>0</v>
      </c>
      <c r="X34" s="132">
        <f>+COUNTIFS($J:$J,"bono",$G:$G,"1",$I:$I,"noche")</f>
        <v>0</v>
      </c>
      <c r="Y34" s="189">
        <f>+X34*$X$32</f>
        <v>0</v>
      </c>
      <c r="Z34" s="190">
        <f>+Y34+W34</f>
        <v>0</v>
      </c>
      <c r="AB34" s="407">
        <v>2</v>
      </c>
      <c r="AC34" s="383">
        <f>+COUNTIFS($J:$J,"tarifas_especiales",$G:$G,"2",$K:$K,"supercampus")</f>
        <v>0</v>
      </c>
      <c r="AD34" s="532">
        <f>+AC34*$AD$32*AB34</f>
        <v>0</v>
      </c>
      <c r="AE34" s="385">
        <f>+COUNTIFS($J:$J,"tarifas_especiales",$G:$G,"2",$K:$K,"baloncesto particular")</f>
        <v>0</v>
      </c>
      <c r="AF34" s="406">
        <f t="shared" ref="AF34:AF35" si="26">+AE34*$AF$32*AB34</f>
        <v>0</v>
      </c>
      <c r="AG34" s="385">
        <f>+COUNTIFS($J:$J,"tarifas_especiales",$G:$G,"2",$K:$K,"baloncesto est.")</f>
        <v>0</v>
      </c>
      <c r="AH34" s="527">
        <f t="shared" ref="AH34:AH35" si="27">+$AG$32*AG34*AB34</f>
        <v>0</v>
      </c>
      <c r="AI34" s="535">
        <f t="shared" ref="AI34:AI35" si="28">+AH34+AF34+AD34</f>
        <v>0</v>
      </c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 ht="15.75" thickBot="1" x14ac:dyDescent="0.3">
      <c r="A35" s="245" t="str">
        <f t="shared" si="15"/>
        <v>sábado</v>
      </c>
      <c r="B35" s="244"/>
      <c r="C35" s="472"/>
      <c r="D35" s="451"/>
      <c r="E35" s="451"/>
      <c r="F35" s="451"/>
      <c r="G35" s="451"/>
      <c r="H35" s="451"/>
      <c r="I35" s="471"/>
      <c r="J35" s="450"/>
      <c r="K35" s="89"/>
      <c r="L35" s="413"/>
      <c r="M35" s="191">
        <v>2</v>
      </c>
      <c r="N35" s="228">
        <f>+COUNTIFS($J:$J,"PARTICULAR cortesia",$G:$G,"2",$I:$I,"mañana")</f>
        <v>0</v>
      </c>
      <c r="O35" s="228">
        <f>+COUNTIFS($J:$J,"PARTICULAR cortesia",$G:$G,"2",$I:$I,"tarde")</f>
        <v>0</v>
      </c>
      <c r="P35" s="228">
        <f t="shared" ref="P35:P36" si="29">+(N35+O35)*$O$32*M35</f>
        <v>0</v>
      </c>
      <c r="Q35" s="228">
        <f>+COUNTIFS($J:$J,"PARTICULAR cortesia",$G:$G,"2",$I:$I,"noche")</f>
        <v>0</v>
      </c>
      <c r="R35" s="228">
        <f t="shared" ref="R35:R36" si="30">+Q35*$Q$32</f>
        <v>0</v>
      </c>
      <c r="S35" s="229">
        <f t="shared" ref="S35:S36" si="31">+R35+P35</f>
        <v>0</v>
      </c>
      <c r="T35" s="191">
        <v>2</v>
      </c>
      <c r="U35" s="132">
        <f>+COUNTIFS($J:$J,"bono",$G:$G,"2",$I:$I,"mañana")</f>
        <v>0</v>
      </c>
      <c r="V35" s="132">
        <f>+COUNTIFS($J:$J,"bono",$G:$G,"2",$I:$I,"tarde")</f>
        <v>0</v>
      </c>
      <c r="W35" s="189">
        <f t="shared" ref="W35:W36" si="32">+(V35+U35)*$V$32*T35</f>
        <v>0</v>
      </c>
      <c r="X35" s="132">
        <f>+COUNTIFS($J:$J,"bono",$G:$G,"2",$I:$I,"noche")</f>
        <v>0</v>
      </c>
      <c r="Y35" s="189">
        <f t="shared" ref="Y35:Y36" si="33">+X35*$X$32</f>
        <v>0</v>
      </c>
      <c r="Z35" s="190">
        <f t="shared" ref="Z35:Z36" si="34">+Y35+W35</f>
        <v>0</v>
      </c>
      <c r="AB35" s="408">
        <v>3</v>
      </c>
      <c r="AC35" s="383">
        <f>+COUNTIFS($J:$J,"tarifas_especiales",$G:$G,"3",$K:$K,"supercampus")</f>
        <v>0</v>
      </c>
      <c r="AD35" s="532">
        <f>+AC35*$AD$32*AB35</f>
        <v>0</v>
      </c>
      <c r="AE35" s="385">
        <f>+COUNTIFS($J:$J,"tarifas_especiales",$G:$G,"3",$K:$K,"baloncesto particular")</f>
        <v>0</v>
      </c>
      <c r="AF35" s="406">
        <f t="shared" si="26"/>
        <v>0</v>
      </c>
      <c r="AG35" s="385">
        <f>+COUNTIFS($J:$J,"tarifas_especiales",$G:$G,"3",$K:$K,"baloncesto est.")</f>
        <v>0</v>
      </c>
      <c r="AH35" s="527">
        <f t="shared" si="27"/>
        <v>0</v>
      </c>
      <c r="AI35" s="536">
        <f t="shared" si="28"/>
        <v>0</v>
      </c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 ht="15.75" thickBot="1" x14ac:dyDescent="0.3">
      <c r="A36" s="245" t="str">
        <f t="shared" si="15"/>
        <v>sábado</v>
      </c>
      <c r="B36" s="244"/>
      <c r="C36" s="470"/>
      <c r="D36" s="471"/>
      <c r="E36" s="451"/>
      <c r="F36" s="451"/>
      <c r="G36" s="451"/>
      <c r="H36" s="451"/>
      <c r="I36" s="471"/>
      <c r="J36" s="450"/>
      <c r="K36" s="42"/>
      <c r="L36" s="413"/>
      <c r="M36" s="192">
        <v>3</v>
      </c>
      <c r="N36" s="230">
        <f>+COUNTIFS($J:$J,"PARTICULAR cortesia",$G:$G,"3",$I:$I,"mañana")</f>
        <v>0</v>
      </c>
      <c r="O36" s="230">
        <f>+COUNTIFS($J:$J,"PARTICULAR cortesia",$G:$G,"3",$I:$I,"tarde")</f>
        <v>0</v>
      </c>
      <c r="P36" s="230">
        <f t="shared" si="29"/>
        <v>0</v>
      </c>
      <c r="Q36" s="230">
        <f>+COUNTIFS($J:$J,"PARTICULAR cortesia",$G:$G,"3",$I:$I,"noche")</f>
        <v>0</v>
      </c>
      <c r="R36" s="230">
        <f t="shared" si="30"/>
        <v>0</v>
      </c>
      <c r="S36" s="232">
        <f t="shared" si="31"/>
        <v>0</v>
      </c>
      <c r="T36" s="192">
        <v>3</v>
      </c>
      <c r="U36" s="136">
        <f>+COUNTIFS($J:$J,"bono",$G:$G,"3",$I:$I,"mañana")</f>
        <v>0</v>
      </c>
      <c r="V36" s="136">
        <f>+COUNTIFS($J:$J,"bono",$G:$G,"3",$I:$I,"tarde")</f>
        <v>0</v>
      </c>
      <c r="W36" s="193">
        <f t="shared" si="32"/>
        <v>0</v>
      </c>
      <c r="X36" s="136">
        <f>+COUNTIFS($J:$J,"bono",$G:$G,"3",$I:$I,"noche")</f>
        <v>0</v>
      </c>
      <c r="Y36" s="193">
        <f t="shared" si="33"/>
        <v>0</v>
      </c>
      <c r="Z36" s="196">
        <f t="shared" si="34"/>
        <v>0</v>
      </c>
      <c r="AB36" s="409" t="s">
        <v>9</v>
      </c>
      <c r="AC36" s="410"/>
      <c r="AD36" s="533">
        <f>SUM(AD33:AD35)</f>
        <v>0</v>
      </c>
      <c r="AE36" s="409"/>
      <c r="AF36" s="411">
        <f>SUM(AF33:AF35)</f>
        <v>0</v>
      </c>
      <c r="AG36" s="530"/>
      <c r="AH36" s="531"/>
      <c r="AI36" s="215">
        <f>SUM(AI33:AI35)</f>
        <v>0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 ht="15.75" thickBot="1" x14ac:dyDescent="0.3">
      <c r="A37" s="245" t="str">
        <f t="shared" si="15"/>
        <v>sábado</v>
      </c>
      <c r="B37" s="244"/>
      <c r="C37" s="450"/>
      <c r="D37" s="451"/>
      <c r="E37" s="451"/>
      <c r="F37" s="451"/>
      <c r="G37" s="451"/>
      <c r="H37" s="451"/>
      <c r="I37" s="471"/>
      <c r="J37" s="450"/>
      <c r="K37" s="89"/>
      <c r="L37" s="413"/>
      <c r="M37" s="42"/>
      <c r="N37" s="132"/>
      <c r="O37" s="132"/>
      <c r="P37" s="111"/>
      <c r="Q37" s="132"/>
      <c r="R37" s="231" t="s">
        <v>52</v>
      </c>
      <c r="S37" s="231">
        <f>SUM(S34:S36)</f>
        <v>0</v>
      </c>
      <c r="T37" s="42"/>
      <c r="U37" s="42"/>
      <c r="V37" s="42"/>
      <c r="W37" s="42"/>
      <c r="X37" s="42"/>
      <c r="Y37" s="195" t="s">
        <v>51</v>
      </c>
      <c r="Z37" s="195">
        <f>SUM(Z34:Z36)</f>
        <v>0</v>
      </c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 ht="15.75" thickBot="1" x14ac:dyDescent="0.3">
      <c r="A38" s="245" t="str">
        <f t="shared" si="15"/>
        <v>sábado</v>
      </c>
      <c r="B38" s="244"/>
      <c r="C38" s="453"/>
      <c r="D38" s="471"/>
      <c r="E38" s="451"/>
      <c r="F38" s="451"/>
      <c r="G38" s="451"/>
      <c r="H38" s="451"/>
      <c r="I38" s="471"/>
      <c r="J38" s="450"/>
      <c r="K38" s="42"/>
      <c r="L38" s="413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 s="118" customFormat="1" ht="15.75" thickBot="1" x14ac:dyDescent="0.3">
      <c r="A39" s="245" t="str">
        <f t="shared" si="15"/>
        <v>sábado</v>
      </c>
      <c r="B39" s="244"/>
      <c r="C39" s="450"/>
      <c r="D39" s="471"/>
      <c r="E39" s="451"/>
      <c r="F39" s="451"/>
      <c r="G39" s="451"/>
      <c r="H39" s="451"/>
      <c r="I39" s="471"/>
      <c r="J39" s="450"/>
      <c r="K39" s="120"/>
      <c r="L39" s="413"/>
      <c r="M39" s="87"/>
      <c r="N39" s="87"/>
      <c r="O39" s="87"/>
      <c r="P39" s="87"/>
      <c r="Q39" s="655" t="s">
        <v>115</v>
      </c>
      <c r="R39" s="656"/>
      <c r="S39" s="656"/>
      <c r="T39" s="656"/>
      <c r="U39" s="656"/>
      <c r="V39" s="656"/>
      <c r="W39" s="656"/>
      <c r="X39" s="656"/>
      <c r="Y39" s="656"/>
      <c r="Z39" s="656"/>
      <c r="AA39" s="656"/>
      <c r="AB39" s="656"/>
      <c r="AC39" s="657"/>
      <c r="AG39" s="655" t="s">
        <v>149</v>
      </c>
      <c r="AH39" s="656"/>
      <c r="AI39" s="656"/>
      <c r="AJ39" s="656"/>
      <c r="AK39" s="656"/>
      <c r="AL39" s="656"/>
      <c r="AM39" s="656"/>
      <c r="AN39" s="656"/>
      <c r="AO39" s="656"/>
      <c r="AP39" s="656"/>
      <c r="AQ39" s="656"/>
      <c r="AR39" s="656"/>
      <c r="AS39" s="65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</row>
    <row r="40" spans="1:63" s="199" customFormat="1" ht="15.75" thickBot="1" x14ac:dyDescent="0.3">
      <c r="A40" s="245" t="str">
        <f t="shared" si="15"/>
        <v>sábado</v>
      </c>
      <c r="B40" s="244"/>
      <c r="C40" s="452"/>
      <c r="D40" s="471"/>
      <c r="E40" s="451"/>
      <c r="F40" s="451"/>
      <c r="G40" s="451"/>
      <c r="H40" s="451"/>
      <c r="I40" s="471"/>
      <c r="J40" s="450"/>
      <c r="K40" s="89"/>
      <c r="L40" s="413"/>
      <c r="M40" s="667" t="s">
        <v>114</v>
      </c>
      <c r="N40" s="699"/>
      <c r="O40" s="668"/>
      <c r="P40" s="87"/>
      <c r="Q40" s="253"/>
      <c r="R40" s="653" t="s">
        <v>105</v>
      </c>
      <c r="S40" s="654"/>
      <c r="T40" s="653" t="s">
        <v>106</v>
      </c>
      <c r="U40" s="654"/>
      <c r="V40" s="653" t="s">
        <v>111</v>
      </c>
      <c r="W40" s="654"/>
      <c r="X40" s="653" t="s">
        <v>107</v>
      </c>
      <c r="Y40" s="654"/>
      <c r="Z40" s="653" t="s">
        <v>108</v>
      </c>
      <c r="AA40" s="654"/>
      <c r="AB40" s="653" t="s">
        <v>112</v>
      </c>
      <c r="AC40" s="654"/>
      <c r="AG40" s="253"/>
      <c r="AH40" s="653" t="s">
        <v>105</v>
      </c>
      <c r="AI40" s="654"/>
      <c r="AJ40" s="653" t="s">
        <v>106</v>
      </c>
      <c r="AK40" s="654"/>
      <c r="AL40" s="653" t="s">
        <v>111</v>
      </c>
      <c r="AM40" s="654"/>
      <c r="AN40" s="653" t="s">
        <v>107</v>
      </c>
      <c r="AO40" s="654"/>
      <c r="AP40" s="653" t="s">
        <v>108</v>
      </c>
      <c r="AQ40" s="654"/>
      <c r="AR40" s="653" t="s">
        <v>112</v>
      </c>
      <c r="AS40" s="654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</row>
    <row r="41" spans="1:63" s="199" customFormat="1" ht="15.75" thickBot="1" x14ac:dyDescent="0.3">
      <c r="A41" s="245" t="str">
        <f t="shared" ref="A41:A73" si="35">+TEXT(B41,"dddd")</f>
        <v>sábado</v>
      </c>
      <c r="B41" s="244"/>
      <c r="C41" s="452"/>
      <c r="D41" s="471"/>
      <c r="E41" s="451"/>
      <c r="F41" s="451"/>
      <c r="G41" s="451"/>
      <c r="H41" s="451"/>
      <c r="I41" s="471"/>
      <c r="J41" s="450"/>
      <c r="K41" s="89"/>
      <c r="L41" s="413"/>
      <c r="M41" s="306" t="s">
        <v>113</v>
      </c>
      <c r="N41" s="307" t="s">
        <v>109</v>
      </c>
      <c r="O41" s="308" t="s">
        <v>110</v>
      </c>
      <c r="P41" s="87"/>
      <c r="Q41" s="263" t="s">
        <v>120</v>
      </c>
      <c r="R41" s="264" t="s">
        <v>109</v>
      </c>
      <c r="S41" s="265" t="s">
        <v>117</v>
      </c>
      <c r="T41" s="264" t="s">
        <v>109</v>
      </c>
      <c r="U41" s="265" t="s">
        <v>117</v>
      </c>
      <c r="V41" s="264" t="s">
        <v>109</v>
      </c>
      <c r="W41" s="265" t="s">
        <v>117</v>
      </c>
      <c r="X41" s="266" t="s">
        <v>109</v>
      </c>
      <c r="Y41" s="267" t="s">
        <v>117</v>
      </c>
      <c r="Z41" s="264" t="s">
        <v>109</v>
      </c>
      <c r="AA41" s="265" t="s">
        <v>117</v>
      </c>
      <c r="AB41" s="266" t="s">
        <v>109</v>
      </c>
      <c r="AC41" s="267" t="s">
        <v>117</v>
      </c>
      <c r="AD41" s="280" t="s">
        <v>150</v>
      </c>
      <c r="AE41" s="281" t="s">
        <v>151</v>
      </c>
      <c r="AG41" s="263" t="s">
        <v>120</v>
      </c>
      <c r="AH41" s="264" t="s">
        <v>109</v>
      </c>
      <c r="AI41" s="265" t="s">
        <v>117</v>
      </c>
      <c r="AJ41" s="264" t="s">
        <v>109</v>
      </c>
      <c r="AK41" s="265" t="s">
        <v>117</v>
      </c>
      <c r="AL41" s="264" t="s">
        <v>109</v>
      </c>
      <c r="AM41" s="265" t="s">
        <v>117</v>
      </c>
      <c r="AN41" s="266" t="s">
        <v>109</v>
      </c>
      <c r="AO41" s="267" t="s">
        <v>117</v>
      </c>
      <c r="AP41" s="264" t="s">
        <v>109</v>
      </c>
      <c r="AQ41" s="265" t="s">
        <v>117</v>
      </c>
      <c r="AR41" s="266" t="s">
        <v>109</v>
      </c>
      <c r="AS41" s="265" t="s">
        <v>117</v>
      </c>
      <c r="AT41" s="280" t="s">
        <v>150</v>
      </c>
      <c r="AU41" s="281" t="s">
        <v>151</v>
      </c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</row>
    <row r="42" spans="1:63" s="199" customFormat="1" ht="15.75" thickBot="1" x14ac:dyDescent="0.3">
      <c r="A42" s="245" t="str">
        <f t="shared" si="35"/>
        <v>sábado</v>
      </c>
      <c r="B42" s="244"/>
      <c r="C42" s="450"/>
      <c r="D42" s="471"/>
      <c r="E42" s="451"/>
      <c r="F42" s="451"/>
      <c r="G42" s="451"/>
      <c r="H42" s="451"/>
      <c r="I42" s="471"/>
      <c r="J42" s="450"/>
      <c r="K42" s="89"/>
      <c r="L42" s="413"/>
      <c r="M42" s="260" t="s">
        <v>105</v>
      </c>
      <c r="N42" s="309">
        <f>+COUNTIF(A:A,"lunes")</f>
        <v>0</v>
      </c>
      <c r="O42" s="310">
        <f>+SUMIF(A:A,"lunes",H:H)</f>
        <v>0</v>
      </c>
      <c r="P42" s="87"/>
      <c r="Q42" s="254" t="s">
        <v>78</v>
      </c>
      <c r="R42" s="247">
        <f>+COUNTIFS($J:$J,"estudiante_ucm",$K:$K,"Adm. Turística",$A:$A,"lunes")</f>
        <v>0</v>
      </c>
      <c r="S42" s="248">
        <f>+SUMIFS($H:$H,$J:$J,"estudiante_ucm",$K:$K,"Adm. Turística",$A:$A,"lunes")</f>
        <v>0</v>
      </c>
      <c r="T42" s="247">
        <f>+COUNTIFS($J:$J,"estudiante_ucm",$K:$K,"Adm. Turística",$A:$A,"martes")</f>
        <v>0</v>
      </c>
      <c r="U42" s="248">
        <f>+SUMIFS($H:$H,$J:$J,"estudiante_ucm",$K:$K,"Adm. Turística",$A:$A,"martes")</f>
        <v>0</v>
      </c>
      <c r="V42" s="247">
        <f>+COUNTIFS($J:$J,"estudiante_ucm",$K:$K,"Adm. Turística",$A:$A,"Miércoles")</f>
        <v>0</v>
      </c>
      <c r="W42" s="248">
        <f>+SUMIFS($H:$H,$J:$J,"estudiante_ucm",$K:$K,"Adm. Turística",$A:$A,"Miércoles")</f>
        <v>0</v>
      </c>
      <c r="X42" s="255">
        <f>+COUNTIFS($J:$J,"estudiante_ucm",$K:$K,"Adm. Turística",$A:$A,"Jueves")</f>
        <v>0</v>
      </c>
      <c r="Y42" s="258">
        <f>+SUMIFS($H:$H,$J:$J,"estudiante_ucm",$K:$K,"Adm. Turística",$A:$A,"Jueves")</f>
        <v>0</v>
      </c>
      <c r="Z42" s="247">
        <f>+COUNTIFS($J:$J,"estudiante_ucm",$K:$K,"Adm. Turística",$A:$A,"viernes")</f>
        <v>0</v>
      </c>
      <c r="AA42" s="248">
        <f>+SUMIFS($H:$H,$J:$J,"estudiante_ucm",$K:$K,"Adm. Turística",$A:$A,"viernes")</f>
        <v>0</v>
      </c>
      <c r="AB42" s="255">
        <f>+COUNTIFS($J:$J,"estudiante_ucm",$K:$K,"Adm. Turística",$A:$A,"Sábado")</f>
        <v>0</v>
      </c>
      <c r="AC42" s="258">
        <f>+SUMIFS($H:$H,$J:$J,"estudiante_ucm",$K:$K,"Adm. Turística",$A:$A,"Sábado")</f>
        <v>0</v>
      </c>
      <c r="AD42" s="257">
        <f>+R42+T42+V42+X42+Z42+AB42</f>
        <v>0</v>
      </c>
      <c r="AE42" s="252">
        <f>+S42+U42+W42+Y42+AA42+AC42</f>
        <v>0</v>
      </c>
      <c r="AG42" s="254" t="s">
        <v>78</v>
      </c>
      <c r="AH42" s="247">
        <f>+COUNTIFS($J:$J,"egresado_ucm",$K:$K,"Adm. Turística",$A:$A,"lunes")</f>
        <v>0</v>
      </c>
      <c r="AI42" s="248">
        <f>+SUMIFS($H:$H,$J:$J,"egresado_ucm",$K:$K,"Adm. Turística",$A:$A,"lunes")</f>
        <v>0</v>
      </c>
      <c r="AJ42" s="247">
        <f>+COUNTIFS($J:$J,"egresado_ucm",$K:$K,"Adm. Turística",$A:$A,"martes")</f>
        <v>0</v>
      </c>
      <c r="AK42" s="248">
        <f>+SUMIFS($H:$H,$J:$J,"egresado_ucm",$K:$K,"Adm. Turística",$A:$A,"martes")</f>
        <v>0</v>
      </c>
      <c r="AL42" s="247">
        <f>+COUNTIFS($J:$J,"egresado_ucm",$K:$K,"Adm. Turística",$A:$A,"Miércoles")</f>
        <v>0</v>
      </c>
      <c r="AM42" s="248">
        <f>+SUMIFS($H:$H,$J:$J,"egresado_ucm",$K:$K,"Adm. Turística",$A:$A,"Miércoles")</f>
        <v>0</v>
      </c>
      <c r="AN42" s="255">
        <f>+COUNTIFS($J:$J,"egresado_ucm",$K:$K,"Adm. Turística",$A:$A,"Jueves")</f>
        <v>0</v>
      </c>
      <c r="AO42" s="258">
        <f>+SUMIFS($H:$H,$J:$J,"egresado_ucm",$K:$K,"Adm. Turística",$A:$A,"Jueves")</f>
        <v>0</v>
      </c>
      <c r="AP42" s="247">
        <f>+COUNTIFS($J:$J,"egresado_ucm",$K:$K,"Adm. Turística",$A:$A,"viernes")</f>
        <v>0</v>
      </c>
      <c r="AQ42" s="248">
        <f>+SUMIFS($H:$H,$J:$J,"egresado_ucm",$K:$K,"Adm. Turística",$A:$A,"viernes")</f>
        <v>0</v>
      </c>
      <c r="AR42" s="255">
        <f>+COUNTIFS($J:$J,"egresado_ucm",$K:$K,"Adm. Turística",$A:$A,"Sábado")</f>
        <v>0</v>
      </c>
      <c r="AS42" s="248">
        <f>+SUMIFS($H:$H,$J:$J,"egresado_ucm",$K:$K,"Adm. Turística",$A:$A,"Sábado")</f>
        <v>0</v>
      </c>
      <c r="AT42" s="257">
        <f>+AH42+AJ42+AL42+AN42+AP42+AR42</f>
        <v>0</v>
      </c>
      <c r="AU42" s="252">
        <f>+AI42+AK42+AM42+AO42+AQ42+AS42</f>
        <v>0</v>
      </c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</row>
    <row r="43" spans="1:63" s="199" customFormat="1" ht="15.75" thickBot="1" x14ac:dyDescent="0.3">
      <c r="A43" s="245" t="str">
        <f t="shared" si="35"/>
        <v>sábado</v>
      </c>
      <c r="B43" s="244"/>
      <c r="C43" s="486"/>
      <c r="D43" s="471"/>
      <c r="E43" s="451"/>
      <c r="F43" s="451"/>
      <c r="G43" s="451"/>
      <c r="H43" s="451"/>
      <c r="I43" s="487"/>
      <c r="J43" s="450"/>
      <c r="K43" s="89"/>
      <c r="L43" s="413"/>
      <c r="M43" s="260"/>
      <c r="N43" s="309"/>
      <c r="O43" s="310"/>
      <c r="P43" s="87"/>
      <c r="Q43" s="254"/>
      <c r="R43" s="247"/>
      <c r="S43" s="248"/>
      <c r="T43" s="247"/>
      <c r="U43" s="248"/>
      <c r="V43" s="247"/>
      <c r="W43" s="248"/>
      <c r="X43" s="255"/>
      <c r="Y43" s="258"/>
      <c r="Z43" s="247"/>
      <c r="AA43" s="248"/>
      <c r="AB43" s="255"/>
      <c r="AC43" s="258"/>
      <c r="AD43" s="257"/>
      <c r="AE43" s="252"/>
      <c r="AG43" s="254"/>
      <c r="AH43" s="247"/>
      <c r="AI43" s="248"/>
      <c r="AJ43" s="247"/>
      <c r="AK43" s="248"/>
      <c r="AL43" s="247"/>
      <c r="AM43" s="248"/>
      <c r="AN43" s="255"/>
      <c r="AO43" s="258"/>
      <c r="AP43" s="247"/>
      <c r="AQ43" s="248"/>
      <c r="AR43" s="255"/>
      <c r="AS43" s="248"/>
      <c r="AT43" s="257"/>
      <c r="AU43" s="252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</row>
    <row r="44" spans="1:63" s="199" customFormat="1" ht="15.75" thickBot="1" x14ac:dyDescent="0.3">
      <c r="A44" s="245" t="str">
        <f t="shared" si="35"/>
        <v>sábado</v>
      </c>
      <c r="B44" s="244"/>
      <c r="C44" s="450"/>
      <c r="D44" s="451"/>
      <c r="E44" s="451"/>
      <c r="F44" s="451"/>
      <c r="G44" s="451"/>
      <c r="H44" s="451"/>
      <c r="I44" s="473"/>
      <c r="J44" s="450"/>
      <c r="K44" s="42"/>
      <c r="L44" s="413"/>
      <c r="M44" s="260" t="s">
        <v>106</v>
      </c>
      <c r="N44" s="309">
        <f>+COUNTIF(A:A,"Martes")</f>
        <v>0</v>
      </c>
      <c r="O44" s="310">
        <f>+SUMIF(A:A,"martes",H:H)</f>
        <v>0</v>
      </c>
      <c r="P44" s="87"/>
      <c r="Q44" s="254" t="s">
        <v>79</v>
      </c>
      <c r="R44" s="247">
        <f>+COUNTIFS($J:$J,"estudiante_ucm",$K:$K,"Arquitectura",$A:$A,"lunes")</f>
        <v>0</v>
      </c>
      <c r="S44" s="248">
        <f>+SUMIFS($H:$H,$J:$J,"estudiante_ucm",$K:$K,"arquitectura",$A:$A,"lunes")</f>
        <v>0</v>
      </c>
      <c r="T44" s="247">
        <f>+COUNTIFS($J:$J,"estudiante_ucm",$K:$K,"Arquitectura",$A:$A,"martes")</f>
        <v>0</v>
      </c>
      <c r="U44" s="248">
        <f>+SUMIFS($H:$H,$J:$J,"estudiante_ucm",$K:$K,"arquitectura",$A:$A,"Martes")</f>
        <v>0</v>
      </c>
      <c r="V44" s="247">
        <f>+COUNTIFS($J:$J,"estudiante_ucm",$K:$K,"Arquitectura",$A:$A,"Miércoles")</f>
        <v>0</v>
      </c>
      <c r="W44" s="248">
        <f>+SUMIFS($H:$H,$J:$J,"estudiante_ucm",$K:$K,"arquitectura",$A:$A,"Miércoles")</f>
        <v>0</v>
      </c>
      <c r="X44" s="255">
        <f>+COUNTIFS($J:$J,"estudiante_ucm",$K:$K,"Arquitectura",$A:$A,"Jueves")</f>
        <v>0</v>
      </c>
      <c r="Y44" s="258">
        <f>+SUMIFS($H:$H,$J:$J,"estudiante_ucm",$K:$K,"arquitectura",$A:$A,"Jueves")</f>
        <v>0</v>
      </c>
      <c r="Z44" s="247">
        <f>+COUNTIFS($J:$J,"estudiante_ucm",$K:$K,"Arquitectura",$A:$A,"viernes")</f>
        <v>0</v>
      </c>
      <c r="AA44" s="248">
        <f>+SUMIFS($H:$H,$J:$J,"estudiante_ucm",$K:$K,"arquitectura",$A:$A,"viernes")</f>
        <v>0</v>
      </c>
      <c r="AB44" s="255">
        <f>+COUNTIFS($J:$J,"estudiante_ucm",$K:$K,"Arquitectura",$A:$A,"Sábado")</f>
        <v>0</v>
      </c>
      <c r="AC44" s="258">
        <f>+SUMIFS($H:$H,$J:$J,"estudiante_ucm",$K:$K,"arquitectura",$A:$A,"Sábado")</f>
        <v>0</v>
      </c>
      <c r="AD44" s="257">
        <f t="shared" ref="AD44:AD52" si="36">+R44+T44+V44+X44+Z44+AB44</f>
        <v>0</v>
      </c>
      <c r="AE44" s="252">
        <f t="shared" ref="AE44:AE52" si="37">+S44+U44+W44+Y44+AA44+AC44</f>
        <v>0</v>
      </c>
      <c r="AG44" s="254" t="s">
        <v>79</v>
      </c>
      <c r="AH44" s="247">
        <f>+COUNTIFS($J:$J,"egresado_ucm",$K:$K,"Arquitectura",$A:$A,"lunes")</f>
        <v>0</v>
      </c>
      <c r="AI44" s="248">
        <f>+SUMIFS($H:$H,$J:$J,"egresado_ucm",$K:$K,"arquitectura",$A:$A,"lunes")</f>
        <v>0</v>
      </c>
      <c r="AJ44" s="247">
        <f>+COUNTIFS($J:$J,"egresado_ucm",$K:$K,"Arquitectura",$A:$A,"martes")</f>
        <v>0</v>
      </c>
      <c r="AK44" s="248">
        <f>+SUMIFS($H:$H,$J:$J,"egresado_ucm",$K:$K,"arquitectura",$A:$A,"Martes")</f>
        <v>0</v>
      </c>
      <c r="AL44" s="247">
        <f>+COUNTIFS($J:$J,"egresado_ucm",$K:$K,"Arquitectura",$A:$A,"Miércoles")</f>
        <v>0</v>
      </c>
      <c r="AM44" s="248">
        <f>+SUMIFS($H:$H,$J:$J,"egresado_ucm",$K:$K,"arquitectura",$A:$A,"Miércoles")</f>
        <v>0</v>
      </c>
      <c r="AN44" s="255">
        <f>+COUNTIFS($J:$J,"egresado_ucm",$K:$K,"Arquitectura",$A:$A,"Jueves")</f>
        <v>0</v>
      </c>
      <c r="AO44" s="258">
        <f>+SUMIFS($H:$H,$J:$J,"egresado_ucm",$K:$K,"arquitectura",$A:$A,"Jueves")</f>
        <v>0</v>
      </c>
      <c r="AP44" s="247">
        <f>+COUNTIFS($J:$J,"egresado_ucm",$K:$K,"Arquitectura",$A:$A,"viernes")</f>
        <v>0</v>
      </c>
      <c r="AQ44" s="248">
        <f>+SUMIFS($H:$H,$J:$J,"egresado_ucm",$K:$K,"arquitectura",$A:$A,"viernes")</f>
        <v>0</v>
      </c>
      <c r="AR44" s="255">
        <f>+COUNTIFS($J:$J,"egresado_ucm",$K:$K,"Arquitectura",$A:$A,"Sábado")</f>
        <v>0</v>
      </c>
      <c r="AS44" s="248">
        <f>+SUMIFS($H:$H,$J:$J,"egresado_ucm",$K:$K,"arquitectura",$A:$A,"Sábado")</f>
        <v>0</v>
      </c>
      <c r="AT44" s="257">
        <f t="shared" ref="AT44:AT49" si="38">+AH44+AJ44+AL44+AN44+AP44+AR44</f>
        <v>0</v>
      </c>
      <c r="AU44" s="252">
        <f t="shared" ref="AU44:AU52" si="39">+AI44+AK44+AM44+AO44+AQ44+AS44</f>
        <v>0</v>
      </c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</row>
    <row r="45" spans="1:63" s="118" customFormat="1" ht="15.75" thickBot="1" x14ac:dyDescent="0.3">
      <c r="A45" s="245" t="str">
        <f t="shared" si="35"/>
        <v>sábado</v>
      </c>
      <c r="B45" s="244"/>
      <c r="C45" s="452"/>
      <c r="D45" s="451"/>
      <c r="E45" s="451"/>
      <c r="F45" s="451"/>
      <c r="G45" s="451"/>
      <c r="H45" s="451"/>
      <c r="I45" s="473"/>
      <c r="J45" s="450"/>
      <c r="K45" s="42"/>
      <c r="L45" s="413"/>
      <c r="M45" s="260" t="s">
        <v>111</v>
      </c>
      <c r="N45" s="309">
        <f>+COUNTIF(A:A,"miércoles")</f>
        <v>0</v>
      </c>
      <c r="O45" s="310">
        <f>+SUMIF(A:A,"miércoles",H:H)</f>
        <v>0</v>
      </c>
      <c r="P45" s="87"/>
      <c r="Q45" s="254" t="s">
        <v>80</v>
      </c>
      <c r="R45" s="247">
        <f>+COUNTIFS($J:$J,"estudiante_ucm",$K:$K,"bacteriología",$A:$A,"lunes")</f>
        <v>0</v>
      </c>
      <c r="S45" s="248">
        <f>+SUMIFS($H:$H,$J:$J,"estudiante_ucm",$K:$K,"bacteriología",$A:$A,"lunes")</f>
        <v>0</v>
      </c>
      <c r="T45" s="247">
        <f>+COUNTIFS($J:$J,"estudiante_ucm",$K:$K,"bacteriología",$A:$A,"martes")</f>
        <v>0</v>
      </c>
      <c r="U45" s="248">
        <f>+SUMIFS($H:$H,$J:$J,"estudiante_ucm",$K:$K,"bacteriología",$A:$A,"Martes")</f>
        <v>0</v>
      </c>
      <c r="V45" s="247">
        <f>+COUNTIFS($J:$J,"estudiante_ucm",$K:$K,"bacteriología",$A:$A,"Miércoles")</f>
        <v>0</v>
      </c>
      <c r="W45" s="248">
        <f>+SUMIFS($H:$H,$J:$J,"estudiante_ucm",$K:$K,"bacteriología",$A:$A,"Miércoles")</f>
        <v>0</v>
      </c>
      <c r="X45" s="255">
        <f>+COUNTIFS($J:$J,"estudiante_ucm",$K:$K,"bacteriología",$A:$A,"Jueves")</f>
        <v>0</v>
      </c>
      <c r="Y45" s="258">
        <f>+SUMIFS($H:$H,$J:$J,"estudiante_ucm",$K:$K,"bacteriología",$A:$A,"Jueves")</f>
        <v>0</v>
      </c>
      <c r="Z45" s="247">
        <f>+COUNTIFS($J:$J,"estudiante_ucm",$K:$K,"bacteriología",$A:$A,"viernes")</f>
        <v>0</v>
      </c>
      <c r="AA45" s="248">
        <f>+SUMIFS($H:$H,$J:$J,"estudiante_ucm",$K:$K,"bacteriología",$A:$A,"viernes")</f>
        <v>0</v>
      </c>
      <c r="AB45" s="255">
        <f>+COUNTIFS($J:$J,"estudiante_ucm",$K:$K,"bacteriología",$A:$A,"Sábado")</f>
        <v>0</v>
      </c>
      <c r="AC45" s="258">
        <f>+SUMIFS($H:$H,$J:$J,"estudiante_ucm",$K:$K,"bacteriología",$A:$A,"Sábado")</f>
        <v>0</v>
      </c>
      <c r="AD45" s="257">
        <f t="shared" si="36"/>
        <v>0</v>
      </c>
      <c r="AE45" s="252">
        <f t="shared" si="37"/>
        <v>0</v>
      </c>
      <c r="AG45" s="254" t="s">
        <v>80</v>
      </c>
      <c r="AH45" s="247">
        <f>+COUNTIFS($J:$J,"egresado_ucm",$K:$K,"bacteriología",$A:$A,"lunes")</f>
        <v>0</v>
      </c>
      <c r="AI45" s="248">
        <f>+SUMIFS($H:$H,$J:$J,"egresado_ucm",$K:$K,"bacteriología",$A:$A,"lunes")</f>
        <v>0</v>
      </c>
      <c r="AJ45" s="247">
        <f>+COUNTIFS($J:$J,"egresado_ucm",$K:$K,"bacteriología",$A:$A,"martes")</f>
        <v>0</v>
      </c>
      <c r="AK45" s="248">
        <f>+SUMIFS($H:$H,$J:$J,"egresado_ucm",$K:$K,"bacteriología",$A:$A,"Martes")</f>
        <v>0</v>
      </c>
      <c r="AL45" s="247">
        <f>+COUNTIFS($J:$J,"egresado_ucm",$K:$K,"bacteriología",$A:$A,"Miércoles")</f>
        <v>0</v>
      </c>
      <c r="AM45" s="248">
        <f>+SUMIFS($H:$H,$J:$J,"egresado_ucm",$K:$K,"bacteriología",$A:$A,"Miércoles")</f>
        <v>0</v>
      </c>
      <c r="AN45" s="255">
        <f>+COUNTIFS($J:$J,"egresado_ucm",$K:$K,"bacteriología",$A:$A,"Jueves")</f>
        <v>0</v>
      </c>
      <c r="AO45" s="258">
        <f>+SUMIFS($H:$H,$J:$J,"egresado_ucm",$K:$K,"bacteriología",$A:$A,"Jueves")</f>
        <v>0</v>
      </c>
      <c r="AP45" s="247">
        <f>+COUNTIFS($J:$J,"egresado_ucm",$K:$K,"bacteriología",$A:$A,"viernes")</f>
        <v>0</v>
      </c>
      <c r="AQ45" s="248">
        <f>+SUMIFS($H:$H,$J:$J,"egresado_ucm",$K:$K,"bacteriología",$A:$A,"viernes")</f>
        <v>0</v>
      </c>
      <c r="AR45" s="255">
        <f>+COUNTIFS($J:$J,"egresado_ucm",$K:$K,"bacteriología",$A:$A,"Sábado")</f>
        <v>0</v>
      </c>
      <c r="AS45" s="248">
        <f>+SUMIFS($H:$H,$J:$J,"egresado_ucm",$K:$K,"bacteriología",$A:$A,"Sábado")</f>
        <v>0</v>
      </c>
      <c r="AT45" s="257">
        <f t="shared" si="38"/>
        <v>0</v>
      </c>
      <c r="AU45" s="252">
        <f t="shared" si="39"/>
        <v>0</v>
      </c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</row>
    <row r="46" spans="1:63" s="118" customFormat="1" ht="15.75" thickBot="1" x14ac:dyDescent="0.3">
      <c r="A46" s="245" t="str">
        <f t="shared" si="35"/>
        <v>sábado</v>
      </c>
      <c r="B46" s="244"/>
      <c r="C46" s="450"/>
      <c r="D46" s="473"/>
      <c r="E46" s="451"/>
      <c r="F46" s="451"/>
      <c r="G46" s="451"/>
      <c r="H46" s="451"/>
      <c r="I46" s="473"/>
      <c r="J46" s="450"/>
      <c r="K46" s="89"/>
      <c r="L46" s="413"/>
      <c r="M46" s="260" t="s">
        <v>107</v>
      </c>
      <c r="N46" s="309">
        <f>+COUNTIF(A:A,"jueves")</f>
        <v>0</v>
      </c>
      <c r="O46" s="310">
        <f>+SUMIF(A:A,"Jueves",H:H)</f>
        <v>0</v>
      </c>
      <c r="P46" s="87"/>
      <c r="Q46" s="254" t="s">
        <v>81</v>
      </c>
      <c r="R46" s="247">
        <f>+COUNTIFS($J:$J,"estudiante_ucm",$K:$K,"enfermería",$A:$A,"lunes")</f>
        <v>0</v>
      </c>
      <c r="S46" s="248">
        <f>+SUMIFS($H:$H,$J:$J,"estudiante_ucm",$K:$K,"enfermería",$A:$A,"lunes")</f>
        <v>0</v>
      </c>
      <c r="T46" s="247">
        <f>+COUNTIFS($J:$J,"estudiante_ucm",$K:$K,"enfermería",$A:$A,"martes")</f>
        <v>0</v>
      </c>
      <c r="U46" s="248">
        <f>+SUMIFS($H:$H,$J:$J,"estudiante_ucm",$K:$K,"enfermería",$A:$A,"Martes")</f>
        <v>0</v>
      </c>
      <c r="V46" s="247">
        <f>+COUNTIFS($J:$J,"estudiante_ucm",$K:$K,"enfermería",$A:$A,"Miércoles")</f>
        <v>0</v>
      </c>
      <c r="W46" s="248">
        <f>+SUMIFS($H:$H,$J:$J,"estudiante_ucm",$K:$K,"enfermería",$A:$A,"Miércoles")</f>
        <v>0</v>
      </c>
      <c r="X46" s="255">
        <f>+COUNTIFS($J:$J,"estudiante_ucm",$K:$K,"enfermería",$A:$A,"Jueves")</f>
        <v>0</v>
      </c>
      <c r="Y46" s="258">
        <f>+SUMIFS($H:$H,$J:$J,"estudiante_ucm",$K:$K,"enfermería",$A:$A,"Jueves")</f>
        <v>0</v>
      </c>
      <c r="Z46" s="247">
        <f>+COUNTIFS($J:$J,"estudiante_ucm",$K:$K,"enfermería",$A:$A,"viernes")</f>
        <v>0</v>
      </c>
      <c r="AA46" s="248">
        <f>+SUMIFS($H:$H,$J:$J,"estudiante_ucm",$K:$K,"enfermería",$A:$A,"viernes")</f>
        <v>0</v>
      </c>
      <c r="AB46" s="255">
        <f>+COUNTIFS($J:$J,"estudiante_ucm",$K:$K,"enfermería",$A:$A,"Sábado")</f>
        <v>0</v>
      </c>
      <c r="AC46" s="258">
        <f>+SUMIFS($H:$H,$J:$J,"estudiante_ucm",$K:$K,"enfermería",$A:$A,"Sábado")</f>
        <v>0</v>
      </c>
      <c r="AD46" s="257">
        <f t="shared" si="36"/>
        <v>0</v>
      </c>
      <c r="AE46" s="252">
        <f t="shared" si="37"/>
        <v>0</v>
      </c>
      <c r="AG46" s="254" t="s">
        <v>81</v>
      </c>
      <c r="AH46" s="247">
        <f>+COUNTIFS($J:$J,"egresado_ucm",$K:$K,"enfermería",$A:$A,"lunes")</f>
        <v>0</v>
      </c>
      <c r="AI46" s="248">
        <f>+SUMIFS($H:$H,$J:$J,"egresado_ucm",$K:$K,"enfermería",$A:$A,"lunes")</f>
        <v>0</v>
      </c>
      <c r="AJ46" s="247">
        <f>+COUNTIFS($J:$J,"egresado_ucm",$K:$K,"enfermería",$A:$A,"martes")</f>
        <v>0</v>
      </c>
      <c r="AK46" s="248">
        <f>+SUMIFS($H:$H,$J:$J,"egresado_ucm",$K:$K,"enfermería",$A:$A,"Martes")</f>
        <v>0</v>
      </c>
      <c r="AL46" s="247">
        <f>+COUNTIFS($J:$J,"egresado_ucm",$K:$K,"enfermería",$A:$A,"Miércoles")</f>
        <v>0</v>
      </c>
      <c r="AM46" s="248">
        <f>+SUMIFS($H:$H,$J:$J,"egresado_ucm",$K:$K,"enfermería",$A:$A,"Miércoles")</f>
        <v>0</v>
      </c>
      <c r="AN46" s="255">
        <f>+COUNTIFS($J:$J,"egresado_ucm",$K:$K,"enfermería",$A:$A,"Jueves")</f>
        <v>0</v>
      </c>
      <c r="AO46" s="258">
        <f>+SUMIFS($H:$H,$J:$J,"egresado_ucm",$K:$K,"enfermería",$A:$A,"Jueves")</f>
        <v>0</v>
      </c>
      <c r="AP46" s="247">
        <f>+COUNTIFS($J:$J,"egresado_ucm",$K:$K,"enfermería",$A:$A,"viernes")</f>
        <v>0</v>
      </c>
      <c r="AQ46" s="248">
        <f>+SUMIFS($H:$H,$J:$J,"egresado_ucm",$K:$K,"enfermería",$A:$A,"viernes")</f>
        <v>0</v>
      </c>
      <c r="AR46" s="255">
        <f>+COUNTIFS($J:$J,"egresado_ucm",$K:$K,"enfermería",$A:$A,"Sábado")</f>
        <v>0</v>
      </c>
      <c r="AS46" s="248">
        <f>+SUMIFS($H:$H,$J:$J,"egresado_ucm",$K:$K,"enfermería",$A:$A,"Sábado")</f>
        <v>0</v>
      </c>
      <c r="AT46" s="257">
        <f t="shared" si="38"/>
        <v>0</v>
      </c>
      <c r="AU46" s="252">
        <f t="shared" si="39"/>
        <v>0</v>
      </c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</row>
    <row r="47" spans="1:63" s="118" customFormat="1" ht="15.75" thickBot="1" x14ac:dyDescent="0.3">
      <c r="A47" s="245" t="str">
        <f t="shared" si="35"/>
        <v>sábado</v>
      </c>
      <c r="B47" s="244"/>
      <c r="C47" s="450"/>
      <c r="D47" s="473"/>
      <c r="E47" s="451"/>
      <c r="F47" s="451"/>
      <c r="G47" s="451"/>
      <c r="H47" s="451"/>
      <c r="I47" s="473"/>
      <c r="J47" s="450"/>
      <c r="K47" s="89"/>
      <c r="L47" s="413"/>
      <c r="M47" s="260" t="s">
        <v>108</v>
      </c>
      <c r="N47" s="309">
        <f>+COUNTIF(A:A,"Viernes")</f>
        <v>0</v>
      </c>
      <c r="O47" s="310">
        <f>+SUMIF(A:A,"Viernes",H:H)</f>
        <v>0</v>
      </c>
      <c r="P47" s="87"/>
      <c r="Q47" s="254" t="s">
        <v>82</v>
      </c>
      <c r="R47" s="247">
        <f>+COUNTIFS($J:$J,"estudiante_ucm",$K:$K,"ing. industrial",$A:$A,"lunes")</f>
        <v>0</v>
      </c>
      <c r="S47" s="248">
        <f>+SUMIFS($H:$H,$J:$J,"estudiante_ucm",$K:$K,"ing. industrial",$A:$A,"lunes")</f>
        <v>0</v>
      </c>
      <c r="T47" s="247">
        <f>+COUNTIFS($J:$J,"estudiante_ucm",$K:$K,"ing. industrial",$A:$A,"martes")</f>
        <v>0</v>
      </c>
      <c r="U47" s="248">
        <f>+SUMIFS($H:$H,$J:$J,"estudiante_ucm",$K:$K,"ing. industrial",$A:$A,"Martes")</f>
        <v>0</v>
      </c>
      <c r="V47" s="247">
        <f>+COUNTIFS($J:$J,"estudiante_ucm",$K:$K,"ing. industrial",$A:$A,"Miércoles")</f>
        <v>0</v>
      </c>
      <c r="W47" s="248">
        <f>+SUMIFS($H:$H,$J:$J,"estudiante_ucm",$K:$K,"ing. industrial",$A:$A,"Miércoles")</f>
        <v>0</v>
      </c>
      <c r="X47" s="255">
        <f>+COUNTIFS($J:$J,"estudiante_ucm",$K:$K,"ing. industrial",$A:$A,"Jueves")</f>
        <v>0</v>
      </c>
      <c r="Y47" s="258">
        <f>+SUMIFS($H:$H,$J:$J,"estudiante_ucm",$K:$K,"ing. industrial",$A:$A,"Jueves")</f>
        <v>0</v>
      </c>
      <c r="Z47" s="247">
        <f>+COUNTIFS($J:$J,"estudiante_ucm",$K:$K,"ing. industrial",$A:$A,"viernes")</f>
        <v>0</v>
      </c>
      <c r="AA47" s="248">
        <f>+SUMIFS($H:$H,$J:$J,"estudiante_ucm",$K:$K,"ing. industrial",$A:$A,"viernes")</f>
        <v>0</v>
      </c>
      <c r="AB47" s="255">
        <f>+COUNTIFS($J:$J,"estudiante_ucm",$K:$K,"ing. industrial",$A:$A,"Sábado")</f>
        <v>0</v>
      </c>
      <c r="AC47" s="258">
        <f>+SUMIFS($H:$H,$J:$J,"estudiante_ucm",$K:$K,"ing. industrial",$A:$A,"Sábado")</f>
        <v>0</v>
      </c>
      <c r="AD47" s="257">
        <f t="shared" si="36"/>
        <v>0</v>
      </c>
      <c r="AE47" s="252">
        <f t="shared" si="37"/>
        <v>0</v>
      </c>
      <c r="AG47" s="254" t="s">
        <v>82</v>
      </c>
      <c r="AH47" s="247">
        <f>+COUNTIFS($J:$J,"egresado_ucm",$K:$K,"ing. industrial",$A:$A,"lunes")</f>
        <v>0</v>
      </c>
      <c r="AI47" s="248">
        <f>+SUMIFS($H:$H,$J:$J,"egresado_ucm",$K:$K,"ing. industrial",$A:$A,"lunes")</f>
        <v>0</v>
      </c>
      <c r="AJ47" s="247">
        <f>+COUNTIFS($J:$J,"egresado_ucm",$K:$K,"ing. industrial",$A:$A,"martes")</f>
        <v>0</v>
      </c>
      <c r="AK47" s="248">
        <f>+SUMIFS($H:$H,$J:$J,"egresado_ucm",$K:$K,"ing. industrial",$A:$A,"Martes")</f>
        <v>0</v>
      </c>
      <c r="AL47" s="247">
        <f>+COUNTIFS($J:$J,"egresado_ucm",$K:$K,"ing. industrial",$A:$A,"Miércoles")</f>
        <v>0</v>
      </c>
      <c r="AM47" s="248">
        <f>+SUMIFS($H:$H,$J:$J,"egresado_ucm",$K:$K,"ing. industrial",$A:$A,"Miércoles")</f>
        <v>0</v>
      </c>
      <c r="AN47" s="255">
        <f>+COUNTIFS($J:$J,"egresado_ucm",$K:$K,"ing. industrial",$A:$A,"Jueves")</f>
        <v>0</v>
      </c>
      <c r="AO47" s="258">
        <f>+SUMIFS($H:$H,$J:$J,"egresado_ucm",$K:$K,"ing. industrial",$A:$A,"Jueves")</f>
        <v>0</v>
      </c>
      <c r="AP47" s="247">
        <f>+COUNTIFS($J:$J,"egresado_ucm",$K:$K,"ing. industrial",$A:$A,"viernes")</f>
        <v>0</v>
      </c>
      <c r="AQ47" s="248">
        <f>+SUMIFS($H:$H,$J:$J,"egresado_ucm",$K:$K,"ing. industrial",$A:$A,"viernes")</f>
        <v>0</v>
      </c>
      <c r="AR47" s="255">
        <f>+COUNTIFS($J:$J,"egresado_ucm",$K:$K,"ing. industrial",$A:$A,"Sábado")</f>
        <v>0</v>
      </c>
      <c r="AS47" s="248">
        <f>+SUMIFS($H:$H,$J:$J,"egresado_ucm",$K:$K,"ing. industrial",$A:$A,"Sábado")</f>
        <v>0</v>
      </c>
      <c r="AT47" s="257">
        <f t="shared" si="38"/>
        <v>0</v>
      </c>
      <c r="AU47" s="252">
        <f t="shared" si="39"/>
        <v>0</v>
      </c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</row>
    <row r="48" spans="1:63" s="118" customFormat="1" ht="15.75" thickBot="1" x14ac:dyDescent="0.3">
      <c r="A48" s="245" t="str">
        <f t="shared" si="35"/>
        <v>sábado</v>
      </c>
      <c r="B48" s="244"/>
      <c r="C48" s="439"/>
      <c r="D48" s="473"/>
      <c r="E48" s="451"/>
      <c r="F48" s="451"/>
      <c r="G48" s="451"/>
      <c r="H48" s="451"/>
      <c r="I48" s="473"/>
      <c r="J48" s="450"/>
      <c r="K48" s="89"/>
      <c r="L48" s="413"/>
      <c r="M48" s="274" t="s">
        <v>112</v>
      </c>
      <c r="N48" s="311">
        <f>+COUNTIF(A:A,"Sábado")</f>
        <v>533</v>
      </c>
      <c r="O48" s="312">
        <f>+SUMIF(A:A,"Sábado",H:H)</f>
        <v>0</v>
      </c>
      <c r="P48" s="87"/>
      <c r="Q48" s="254" t="s">
        <v>116</v>
      </c>
      <c r="R48" s="247">
        <f>+COUNTIFS($J:$J,"estudiante_ucm",$K:$K,"ing. ambiental",$A:$A,"lunes")</f>
        <v>0</v>
      </c>
      <c r="S48" s="248">
        <f>+SUMIFS($H:$H,$J:$J,"estudiante_ucm",$K:$K,"ing. ambiental",$A:$A,"lunes")</f>
        <v>0</v>
      </c>
      <c r="T48" s="247">
        <f>+COUNTIFS($J:$J,"estudiante_ucm",$K:$K,"ing. ambiental",$A:$A,"martes")</f>
        <v>0</v>
      </c>
      <c r="U48" s="248">
        <f>+SUMIFS($H:$H,$J:$J,"estudiante_ucm",$K:$K,"ing. ambiental",$A:$A,"Martes")</f>
        <v>0</v>
      </c>
      <c r="V48" s="247">
        <f>+COUNTIFS($J:$J,"estudiante_ucm",$K:$K,"ing. ambiental",$A:$A,"Miércoles")</f>
        <v>0</v>
      </c>
      <c r="W48" s="248">
        <f>+SUMIFS($H:$H,$J:$J,"estudiante_ucm",$K:$K,"ing. ambiental",$A:$A,"Miércoles")</f>
        <v>0</v>
      </c>
      <c r="X48" s="255">
        <f>+COUNTIFS($J:$J,"estudiante_ucm",$K:$K,"ing. ambiental",$A:$A,"Jueves")</f>
        <v>0</v>
      </c>
      <c r="Y48" s="258">
        <f>+SUMIFS($H:$H,$J:$J,"estudiante_ucm",$K:$K,"ing. ambiental",$A:$A,"Jueves")</f>
        <v>0</v>
      </c>
      <c r="Z48" s="247">
        <f>+COUNTIFS($J:$J,"estudiante_ucm",$K:$K,"ing. ambiental",$A:$A,"viernes")</f>
        <v>0</v>
      </c>
      <c r="AA48" s="248">
        <f>+SUMIFS($H:$H,$J:$J,"estudiante_ucm",$K:$K,"ing. ambiental",$A:$A,"viernes")</f>
        <v>0</v>
      </c>
      <c r="AB48" s="255">
        <f>+COUNTIFS($J:$J,"estudiante_ucm",$K:$K,"ing. ambiental",$A:$A,"Sábado")</f>
        <v>0</v>
      </c>
      <c r="AC48" s="258">
        <f>+SUMIFS($H:$H,$J:$J,"estudiante_ucm",$K:$K,"ing. ambiental",$A:$A,"Sábado")</f>
        <v>0</v>
      </c>
      <c r="AD48" s="257">
        <f t="shared" si="36"/>
        <v>0</v>
      </c>
      <c r="AE48" s="252">
        <f t="shared" si="37"/>
        <v>0</v>
      </c>
      <c r="AG48" s="254" t="s">
        <v>116</v>
      </c>
      <c r="AH48" s="247">
        <f>+COUNTIFS($J:$J,"egresado_ucm",$K:$K,"ing. ambiental",$A:$A,"lunes")</f>
        <v>0</v>
      </c>
      <c r="AI48" s="248">
        <f>+SUMIFS($H:$H,$J:$J,"egresado_ucm",$K:$K,"ing. ambiental",$A:$A,"lunes")</f>
        <v>0</v>
      </c>
      <c r="AJ48" s="247">
        <f>+COUNTIFS($J:$J,"egresado_ucm",$K:$K,"ing. ambiental",$A:$A,"martes")</f>
        <v>0</v>
      </c>
      <c r="AK48" s="248">
        <f>+SUMIFS($H:$H,$J:$J,"egresado_ucm",$K:$K,"ing. ambiental",$A:$A,"Martes")</f>
        <v>0</v>
      </c>
      <c r="AL48" s="247">
        <f>+COUNTIFS($J:$J,"egresado_ucm",$K:$K,"ing. ambiental",$A:$A,"Miércoles")</f>
        <v>0</v>
      </c>
      <c r="AM48" s="248">
        <f>+SUMIFS($H:$H,$J:$J,"egresado_ucm",$K:$K,"ing. ambiental",$A:$A,"Miércoles")</f>
        <v>0</v>
      </c>
      <c r="AN48" s="255">
        <f>+COUNTIFS($J:$J,"egresado_ucm",$K:$K,"ing. ambiental",$A:$A,"Jueves")</f>
        <v>0</v>
      </c>
      <c r="AO48" s="258">
        <f>+SUMIFS($H:$H,$J:$J,"egresado_ucm",$K:$K,"ing. ambiental",$A:$A,"Jueves")</f>
        <v>0</v>
      </c>
      <c r="AP48" s="247">
        <f>+COUNTIFS($J:$J,"egresado_ucm",$K:$K,"ing. ambiental",$A:$A,"viernes")</f>
        <v>0</v>
      </c>
      <c r="AQ48" s="248">
        <f>+SUMIFS($H:$H,$J:$J,"egresado_ucm",$K:$K,"ing. ambiental",$A:$A,"viernes")</f>
        <v>0</v>
      </c>
      <c r="AR48" s="255">
        <f>+COUNTIFS($J:$J,"egresado_ucm",$K:$K,"ing. ambiental",$A:$A,"Sábado")</f>
        <v>0</v>
      </c>
      <c r="AS48" s="248">
        <f>+SUMIFS($H:$H,$J:$J,"egresado_ucm",$K:$K,"ing. ambiental",$A:$A,"Sábado")</f>
        <v>0</v>
      </c>
      <c r="AT48" s="257">
        <f t="shared" si="38"/>
        <v>0</v>
      </c>
      <c r="AU48" s="252">
        <f t="shared" si="39"/>
        <v>0</v>
      </c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</row>
    <row r="49" spans="1:63" s="118" customFormat="1" ht="15.75" thickBot="1" x14ac:dyDescent="0.3">
      <c r="A49" s="245" t="str">
        <f t="shared" si="35"/>
        <v>sábado</v>
      </c>
      <c r="B49" s="244"/>
      <c r="C49" s="450"/>
      <c r="D49" s="473"/>
      <c r="E49" s="451"/>
      <c r="F49" s="451"/>
      <c r="G49" s="451"/>
      <c r="H49" s="451"/>
      <c r="I49" s="473"/>
      <c r="J49" s="450"/>
      <c r="K49" s="89"/>
      <c r="L49" s="413"/>
      <c r="M49" s="314" t="s">
        <v>9</v>
      </c>
      <c r="N49" s="305">
        <f>SUM(N42:N48)</f>
        <v>533</v>
      </c>
      <c r="O49" s="313">
        <f>SUM(O42:O48)</f>
        <v>0</v>
      </c>
      <c r="P49" s="87"/>
      <c r="Q49" s="254" t="s">
        <v>83</v>
      </c>
      <c r="R49" s="247">
        <f>+COUNTIFS($J:$J,"estudiante_ucm",$K:$K,"ing. telecomunicaciones",$A:$A,"lunes")</f>
        <v>0</v>
      </c>
      <c r="S49" s="248">
        <f>+SUMIFS($H:$H,$J:$J,"estudiante_ucm",$K:$K,"ing. telecomunicaciones",$A:$A,"lunes")</f>
        <v>0</v>
      </c>
      <c r="T49" s="247">
        <f>+COUNTIFS($J:$J,"estudiante_ucm",$K:$K,"ing. telecomunicaciones",$A:$A,"martes")</f>
        <v>0</v>
      </c>
      <c r="U49" s="248">
        <f>+SUMIFS($H:$H,$J:$J,"estudiante_ucm",$K:$K,"ing. telecomunicaciones",$A:$A,"Martes")</f>
        <v>0</v>
      </c>
      <c r="V49" s="247">
        <f>+COUNTIFS($J:$J,"estudiante_ucm",$K:$K,"ing. telecomunicaciones",$A:$A,"Miércoles")</f>
        <v>0</v>
      </c>
      <c r="W49" s="248">
        <f>+SUMIFS($H:$H,$J:$J,"estudiante_ucm",$K:$K,"ing. telecomunicaciones",$A:$A,"Miércoles")</f>
        <v>0</v>
      </c>
      <c r="X49" s="255">
        <f>+COUNTIFS($J:$J,"estudiante_ucm",$K:$K,"ing. telecomunicaciones",$A:$A,"Jueves")</f>
        <v>0</v>
      </c>
      <c r="Y49" s="258">
        <f>+SUMIFS($H:$H,$J:$J,"estudiante_ucm",$K:$K,"ing. telecomunicaciones",$A:$A,"Jueves")</f>
        <v>0</v>
      </c>
      <c r="Z49" s="247">
        <f>+COUNTIFS($J:$J,"estudiante_ucm",$K:$K,"ing. telecomunicaciones",$A:$A,"viernes")</f>
        <v>0</v>
      </c>
      <c r="AA49" s="248">
        <f>+SUMIFS($H:$H,$J:$J,"estudiante_ucm",$K:$K,"ing. telecomunicaciones",$A:$A,"viernes")</f>
        <v>0</v>
      </c>
      <c r="AB49" s="255">
        <f>+COUNTIFS($J:$J,"estudiante_ucm",$K:$K,"ing. telecomunicaciones",$A:$A,"Sábado")</f>
        <v>0</v>
      </c>
      <c r="AC49" s="258">
        <f>+SUMIFS($H:$H,$J:$J,"estudiante_ucm",$K:$K,"ing. telecomunicaciones",$A:$A,"Sábado")</f>
        <v>0</v>
      </c>
      <c r="AD49" s="257">
        <f t="shared" si="36"/>
        <v>0</v>
      </c>
      <c r="AE49" s="252">
        <f t="shared" si="37"/>
        <v>0</v>
      </c>
      <c r="AG49" s="254" t="s">
        <v>83</v>
      </c>
      <c r="AH49" s="247">
        <f>+COUNTIFS($J:$J,"egresado_ucm",$K:$K,"ing. telecomunicaciones",$A:$A,"lunes")</f>
        <v>0</v>
      </c>
      <c r="AI49" s="248">
        <f>+SUMIFS($H:$H,$J:$J,"egresado_ucm",$K:$K,"ing. telecomunicaciones",$A:$A,"lunes")</f>
        <v>0</v>
      </c>
      <c r="AJ49" s="247">
        <f>+COUNTIFS($J:$J,"egresado_ucm",$K:$K,"ing. telecomunicaciones",$A:$A,"martes")</f>
        <v>0</v>
      </c>
      <c r="AK49" s="248">
        <f>+SUMIFS($H:$H,$J:$J,"egresado_ucm",$K:$K,"ing. telecomunicaciones",$A:$A,"Martes")</f>
        <v>0</v>
      </c>
      <c r="AL49" s="247">
        <f>+COUNTIFS($J:$J,"egresado_ucm",$K:$K,"ing. telecomunicaciones",$A:$A,"Miércoles")</f>
        <v>0</v>
      </c>
      <c r="AM49" s="248">
        <f>+SUMIFS($H:$H,$J:$J,"egresado_ucm",$K:$K,"ing. telecomunicaciones",$A:$A,"Miércoles")</f>
        <v>0</v>
      </c>
      <c r="AN49" s="255">
        <f>+COUNTIFS($J:$J,"egresado_ucm",$K:$K,"ing. telecomunicaciones",$A:$A,"Jueves")</f>
        <v>0</v>
      </c>
      <c r="AO49" s="258">
        <f>+SUMIFS($H:$H,$J:$J,"egresado_ucm",$K:$K,"ing. telecomunicaciones",$A:$A,"Jueves")</f>
        <v>0</v>
      </c>
      <c r="AP49" s="247">
        <f>+COUNTIFS($J:$J,"egresado_ucm",$K:$K,"ing. telecomunicaciones",$A:$A,"viernes")</f>
        <v>0</v>
      </c>
      <c r="AQ49" s="248">
        <f>+SUMIFS($H:$H,$J:$J,"egresado_ucm",$K:$K,"ing. telecomunicaciones",$A:$A,"viernes")</f>
        <v>0</v>
      </c>
      <c r="AR49" s="255">
        <f>+COUNTIFS($J:$J,"egresado_ucm",$K:$K,"ing. telecomunicaciones",$A:$A,"Sábado")</f>
        <v>0</v>
      </c>
      <c r="AS49" s="248">
        <f>+SUMIFS($H:$H,$J:$J,"egresado_ucm",$K:$K,"ing. telecomunicaciones",$A:$A,"Sábado")</f>
        <v>0</v>
      </c>
      <c r="AT49" s="257">
        <f t="shared" si="38"/>
        <v>0</v>
      </c>
      <c r="AU49" s="252">
        <f t="shared" si="39"/>
        <v>0</v>
      </c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</row>
    <row r="50" spans="1:63" ht="15.75" thickBot="1" x14ac:dyDescent="0.3">
      <c r="A50" s="245" t="str">
        <f t="shared" si="35"/>
        <v>sábado</v>
      </c>
      <c r="B50" s="244"/>
      <c r="C50" s="450"/>
      <c r="D50" s="456"/>
      <c r="E50" s="451"/>
      <c r="F50" s="451"/>
      <c r="G50" s="451"/>
      <c r="H50" s="451"/>
      <c r="I50" s="473"/>
      <c r="J50" s="450"/>
      <c r="K50" s="89"/>
      <c r="L50" s="413"/>
      <c r="M50" s="87"/>
      <c r="N50" s="87"/>
      <c r="O50" s="87"/>
      <c r="P50" s="87"/>
      <c r="Q50" s="254" t="s">
        <v>86</v>
      </c>
      <c r="R50" s="247">
        <f>+COUNTIFS($J:$J,"estudiante_ucm",$K:$K,"publicidad",$A:$A,"lunes")</f>
        <v>0</v>
      </c>
      <c r="S50" s="248">
        <f>+SUMIFS($H:$H,$J:$J,"estudiante_ucm",$K:$K,"publicidad",$A:$A,"lunes")</f>
        <v>0</v>
      </c>
      <c r="T50" s="247">
        <f>+COUNTIFS($J:$J,"estudiante_ucm",$K:$K,"publicidad",$A:$A,"martes")</f>
        <v>0</v>
      </c>
      <c r="U50" s="248">
        <f>+SUMIFS($H:$H,$J:$J,"estudiante_ucm",$K:$K,"publicidad",$A:$A,"Martes")</f>
        <v>0</v>
      </c>
      <c r="V50" s="247">
        <f>+COUNTIFS($J:$J,"estudiante_ucm",$K:$K,"publicidad",$A:$A,"Miércoles")</f>
        <v>0</v>
      </c>
      <c r="W50" s="248">
        <f>+SUMIFS($H:$H,$J:$J,"estudiante_ucm",$K:$K,"publicidad",$A:$A,"Miércoles")</f>
        <v>0</v>
      </c>
      <c r="X50" s="255">
        <f>+COUNTIFS($J:$J,"estudiante_ucm",$K:$K,"publicidad",$A:$A,"Jueves")</f>
        <v>0</v>
      </c>
      <c r="Y50" s="258">
        <f>+SUMIFS($H:$H,$J:$J,"estudiante_ucm",$K:$K,"publicidad",$A:$A,"Jueves")</f>
        <v>0</v>
      </c>
      <c r="Z50" s="247">
        <f>+COUNTIFS($J:$J,"estudiante_ucm",$K:$K,"publicidad",$A:$A,"viernes")</f>
        <v>0</v>
      </c>
      <c r="AA50" s="248">
        <f>+SUMIFS($H:$H,$J:$J,"estudiante_ucm",$K:$K,"publicidad",$A:$A,"viernes")</f>
        <v>0</v>
      </c>
      <c r="AB50" s="255">
        <f>+COUNTIFS($J:$J,"estudiante_ucm",$K:$K,"publicidad",$A:$A,"Sábado")</f>
        <v>0</v>
      </c>
      <c r="AC50" s="258">
        <f>+SUMIFS($H:$H,$J:$J,"estudiante_ucm",$K:$K,"publicidad",$A:$A,"Sábado")</f>
        <v>0</v>
      </c>
      <c r="AD50" s="257">
        <f>+R50+T50+V50+X50+Z50+AB50</f>
        <v>0</v>
      </c>
      <c r="AE50" s="252">
        <f t="shared" si="37"/>
        <v>0</v>
      </c>
      <c r="AG50" s="254" t="s">
        <v>86</v>
      </c>
      <c r="AH50" s="247">
        <f>+COUNTIFS($J:$J,"egresado_ucm",$K:$K,"publicidad",$A:$A,"lunes")</f>
        <v>0</v>
      </c>
      <c r="AI50" s="248">
        <f>+SUMIFS($H:$H,$J:$J,"egresado_ucm",$K:$K,"publicidad",$A:$A,"lunes")</f>
        <v>0</v>
      </c>
      <c r="AJ50" s="247">
        <f>+COUNTIFS($J:$J,"egresado_ucm",$K:$K,"publicidad",$A:$A,"martes")</f>
        <v>0</v>
      </c>
      <c r="AK50" s="248">
        <f>+SUMIFS($H:$H,$J:$J,"egresado_ucm",$K:$K,"publicidad",$A:$A,"Martes")</f>
        <v>0</v>
      </c>
      <c r="AL50" s="247">
        <f>+COUNTIFS($J:$J,"egresado_ucm",$K:$K,"publicidad",$A:$A,"Miércoles")</f>
        <v>0</v>
      </c>
      <c r="AM50" s="248">
        <f>+SUMIFS($H:$H,$J:$J,"egresado_ucm",$K:$K,"publicidad",$A:$A,"Miércoles")</f>
        <v>0</v>
      </c>
      <c r="AN50" s="255">
        <f>+COUNTIFS($J:$J,"egresado_ucm",$K:$K,"publicidad",$A:$A,"Jueves")</f>
        <v>0</v>
      </c>
      <c r="AO50" s="258">
        <f>+SUMIFS($H:$H,$J:$J,"egresado_ucm",$K:$K,"publicidad",$A:$A,"Jueves")</f>
        <v>0</v>
      </c>
      <c r="AP50" s="247">
        <f>+COUNTIFS($J:$J,"egresado_ucm",$K:$K,"publicidad",$A:$A,"viernes")</f>
        <v>0</v>
      </c>
      <c r="AQ50" s="248">
        <f>+SUMIFS($H:$H,$J:$J,"egresado_ucm",$K:$K,"publicidad",$A:$A,"viernes")</f>
        <v>0</v>
      </c>
      <c r="AR50" s="255">
        <f>+COUNTIFS($J:$J,"egresado_ucm",$K:$K,"publicidad",$A:$A,"Sábado")</f>
        <v>0</v>
      </c>
      <c r="AS50" s="248">
        <f>+SUMIFS($H:$H,$J:$J,"egresado_ucm",$K:$K,"publicidad",$A:$A,"Sábado")</f>
        <v>0</v>
      </c>
      <c r="AT50" s="257">
        <f>+AH50+AJ50+AL50+AN50+AP50+AR50</f>
        <v>0</v>
      </c>
      <c r="AU50" s="252">
        <f t="shared" si="39"/>
        <v>0</v>
      </c>
      <c r="AV50" s="87"/>
      <c r="AW50" s="87"/>
      <c r="AX50" s="87"/>
      <c r="AY50" s="87"/>
      <c r="BB50" s="87"/>
      <c r="BE50" s="87"/>
      <c r="BH50" s="87"/>
      <c r="BK50" s="87"/>
    </row>
    <row r="51" spans="1:63" ht="15.75" thickBot="1" x14ac:dyDescent="0.3">
      <c r="A51" s="245" t="str">
        <f t="shared" si="35"/>
        <v>sábado</v>
      </c>
      <c r="B51" s="244"/>
      <c r="C51" s="554"/>
      <c r="D51" s="473"/>
      <c r="E51" s="451"/>
      <c r="F51" s="451"/>
      <c r="G51" s="451"/>
      <c r="H51" s="451"/>
      <c r="I51" s="473"/>
      <c r="J51" s="450"/>
      <c r="K51" s="89"/>
      <c r="L51" s="485"/>
      <c r="M51" s="87"/>
      <c r="N51" s="87"/>
      <c r="O51" s="87"/>
      <c r="P51" s="87"/>
      <c r="Q51" s="254" t="s">
        <v>118</v>
      </c>
      <c r="R51" s="247">
        <f>+COUNTIFS($J:$J,"estudiante_ucm",$K:$K,"Maestria",$A:$A,"lunes")</f>
        <v>0</v>
      </c>
      <c r="S51" s="248">
        <f>+SUMIFS($H:$H,$J:$J,"estudiante_ucm",$K:$K,"maestria",$A:$A,"lunes")</f>
        <v>0</v>
      </c>
      <c r="T51" s="247">
        <f>+COUNTIFS($J:$J,"estudiante_ucm",$K:$K,"maestria",$A:$A,"martes")</f>
        <v>0</v>
      </c>
      <c r="U51" s="248">
        <f>+SUMIFS($H:$H,$J:$J,"estudiante_ucm",$K:$K,"maestria",$A:$A,"Martes")</f>
        <v>0</v>
      </c>
      <c r="V51" s="247">
        <f>+COUNTIFS($J:$J,"estudiante_ucm",$K:$K,"maestria",$A:$A,"Miércoles")</f>
        <v>0</v>
      </c>
      <c r="W51" s="248">
        <f>+SUMIFS($H:$H,$J:$J,"estudiante_ucm",$K:$K,"maestria",$A:$A,"Miércoles")</f>
        <v>0</v>
      </c>
      <c r="X51" s="255">
        <f>+COUNTIFS($J:$J,"estudiante_ucm",$K:$K,"maestria",$A:$A,"Jueves")</f>
        <v>0</v>
      </c>
      <c r="Y51" s="258">
        <f>+SUMIFS($H:$H,$J:$J,"estudiante_ucm",$K:$K,"maestria",$A:$A,"Jueves")</f>
        <v>0</v>
      </c>
      <c r="Z51" s="247">
        <f>+COUNTIFS($J:$J,"estudiante_ucm",$K:$K,"maestria",$A:$A,"viernes")</f>
        <v>0</v>
      </c>
      <c r="AA51" s="248">
        <f>+SUMIFS($H:$H,$J:$J,"estudiante_ucm",$K:$K,"maestria",$A:$A,"viernes")</f>
        <v>0</v>
      </c>
      <c r="AB51" s="255">
        <f>+COUNTIFS($J:$J,"estudiante_ucm",$K:$K,"maestria",$A:$A,"Sábado")</f>
        <v>0</v>
      </c>
      <c r="AC51" s="258">
        <f>+SUMIFS($H:$H,$J:$J,"estudiante_ucm",$K:$K,"maestria",$A:$A,"Sábado")</f>
        <v>0</v>
      </c>
      <c r="AD51" s="257">
        <f t="shared" si="36"/>
        <v>0</v>
      </c>
      <c r="AE51" s="252">
        <f t="shared" si="37"/>
        <v>0</v>
      </c>
      <c r="AG51" s="254" t="s">
        <v>118</v>
      </c>
      <c r="AH51" s="247">
        <f>+COUNTIFS($J:$J,"egresado_ucm",$K:$K,"Maestria",$A:$A,"lunes")</f>
        <v>0</v>
      </c>
      <c r="AI51" s="248">
        <f>+SUMIFS($H:$H,$J:$J,"egresado_ucm",$K:$K,"maestria",$A:$A,"lunes")</f>
        <v>0</v>
      </c>
      <c r="AJ51" s="247">
        <f>+COUNTIFS($J:$J,"egresado_ucm",$K:$K,"maestria",$A:$A,"martes")</f>
        <v>0</v>
      </c>
      <c r="AK51" s="248">
        <f>+SUMIFS($H:$H,$J:$J,"egresado_ucm",$K:$K,"maestria",$A:$A,"Martes")</f>
        <v>0</v>
      </c>
      <c r="AL51" s="247">
        <f>+COUNTIFS($J:$J,"egresado_ucm",$K:$K,"maestria",$A:$A,"Miércoles")</f>
        <v>0</v>
      </c>
      <c r="AM51" s="248">
        <f>+SUMIFS($H:$H,$J:$J,"egresado_ucm",$K:$K,"maestria",$A:$A,"Miércoles")</f>
        <v>0</v>
      </c>
      <c r="AN51" s="255">
        <f>+COUNTIFS($J:$J,"egresado_ucm",$K:$K,"maestria",$A:$A,"Jueves")</f>
        <v>0</v>
      </c>
      <c r="AO51" s="258">
        <f>+SUMIFS($H:$H,$J:$J,"egresado_ucm",$K:$K,"maestria",$A:$A,"Jueves")</f>
        <v>0</v>
      </c>
      <c r="AP51" s="247">
        <f>+COUNTIFS($J:$J,"egresado_ucm",$K:$K,"maestria",$A:$A,"viernes")</f>
        <v>0</v>
      </c>
      <c r="AQ51" s="248">
        <f>+SUMIFS($H:$H,$J:$J,"egresado_ucm",$K:$K,"maestria",$A:$A,"viernes")</f>
        <v>0</v>
      </c>
      <c r="AR51" s="255">
        <f>+COUNTIFS($J:$J,"egresado_ucm",$K:$K,"maestria",$A:$A,"Sábado")</f>
        <v>0</v>
      </c>
      <c r="AS51" s="248">
        <f>+SUMIFS($H:$H,$J:$J,"egresado_ucm",$K:$K,"maestria",$A:$A,"Sábado")</f>
        <v>0</v>
      </c>
      <c r="AT51" s="257">
        <f t="shared" ref="AT51:AT52" si="40">+AH51+AJ51+AL51+AN51+AP51+AR51</f>
        <v>0</v>
      </c>
      <c r="AU51" s="252">
        <f t="shared" si="39"/>
        <v>0</v>
      </c>
      <c r="AV51" s="87"/>
      <c r="AW51" s="87"/>
      <c r="AX51" s="87"/>
      <c r="AY51" s="87"/>
      <c r="BB51" s="87"/>
      <c r="BE51" s="87"/>
      <c r="BH51" s="87"/>
      <c r="BK51" s="87"/>
    </row>
    <row r="52" spans="1:63" ht="15.75" thickBot="1" x14ac:dyDescent="0.3">
      <c r="A52" s="245" t="str">
        <f t="shared" si="35"/>
        <v>sábado</v>
      </c>
      <c r="B52" s="244"/>
      <c r="C52" s="450"/>
      <c r="D52" s="473"/>
      <c r="E52" s="401"/>
      <c r="F52" s="451"/>
      <c r="G52" s="401"/>
      <c r="H52" s="401"/>
      <c r="I52" s="473"/>
      <c r="J52" s="450"/>
      <c r="K52" s="42"/>
      <c r="L52" s="413"/>
      <c r="M52" s="87"/>
      <c r="N52" s="87"/>
      <c r="O52" s="87"/>
      <c r="P52" s="87"/>
      <c r="Q52" s="282" t="s">
        <v>119</v>
      </c>
      <c r="R52" s="283">
        <f>+COUNTIFS($J:$J,"estudiante_ucm",$K:$K,"Tecnologia",$A:$A,"lunes")</f>
        <v>0</v>
      </c>
      <c r="S52" s="273">
        <f>+SUMIFS($H:$H,$J:$J,"estudiante_ucm",$K:$K,"tecnologia",$A:$A,"lunes")</f>
        <v>0</v>
      </c>
      <c r="T52" s="283">
        <f>+COUNTIFS($J:$J,"estudiante_ucm",$K:$K,"tecnologia",$A:$A,"martes")</f>
        <v>0</v>
      </c>
      <c r="U52" s="273">
        <f>+SUMIFS($H:$H,$J:$J,"estudiante_ucm",$K:$K,"tecnologia",$A:$A,"Martes")</f>
        <v>0</v>
      </c>
      <c r="V52" s="283">
        <f>+COUNTIFS($J:$J,"estudiante_ucm",$K:$K,"tecnologia",$A:$A,"Miércoles")</f>
        <v>0</v>
      </c>
      <c r="W52" s="273">
        <f>+SUMIFS($H:$H,$J:$J,"estudiante_ucm",$K:$K,"tecnologia",$A:$A,"Miércoles")</f>
        <v>0</v>
      </c>
      <c r="X52" s="284">
        <f>+COUNTIFS($J:$J,"estudiante_ucm",$K:$K,"tecnologia",$A:$A,"Jueves")</f>
        <v>0</v>
      </c>
      <c r="Y52" s="285">
        <f>+SUMIFS($H:$H,$J:$J,"estudiante_ucm",$K:$K,"tecnologia",$A:$A,"Jueves")</f>
        <v>0</v>
      </c>
      <c r="Z52" s="283">
        <f>+COUNTIFS($J:$J,"estudiante_ucm",$K:$K,"tecnologia",$A:$A,"viernes")</f>
        <v>0</v>
      </c>
      <c r="AA52" s="273">
        <f>+SUMIFS($H:$H,$J:$J,"estudiante_ucm",$K:$K,"tecnologia",$A:$A,"viernes")</f>
        <v>0</v>
      </c>
      <c r="AB52" s="284">
        <f>+COUNTIFS($J:$J,"estudiante_ucm",$K:$K,"tecnologia",$A:$A,"Sábado")</f>
        <v>0</v>
      </c>
      <c r="AC52" s="285">
        <f>+SUMIFS($H:$H,$J:$J,"estudiante_ucm",$K:$K,"tecnologia",$A:$A,"Sábado")</f>
        <v>0</v>
      </c>
      <c r="AD52" s="278">
        <f t="shared" si="36"/>
        <v>0</v>
      </c>
      <c r="AE52" s="279">
        <f t="shared" si="37"/>
        <v>0</v>
      </c>
      <c r="AG52" s="282" t="s">
        <v>119</v>
      </c>
      <c r="AH52" s="283">
        <f>+COUNTIFS($J:$J,"egresado_ucm",$K:$K,"Tecnologia",$A:$A,"lunes")</f>
        <v>0</v>
      </c>
      <c r="AI52" s="273">
        <f>+SUMIFS($H:$H,$J:$J,"egresado_ucm",$K:$K,"tecnologia",$A:$A,"lunes")</f>
        <v>0</v>
      </c>
      <c r="AJ52" s="283">
        <f>+COUNTIFS($J:$J,"egresado_ucm",$K:$K,"tecnologia",$A:$A,"martes")</f>
        <v>0</v>
      </c>
      <c r="AK52" s="273">
        <f>+SUMIFS($H:$H,$J:$J,"egresado_ucm",$K:$K,"tecnologia",$A:$A,"Martes")</f>
        <v>0</v>
      </c>
      <c r="AL52" s="283">
        <f>+COUNTIFS($J:$J,"egresado_ucm",$K:$K,"tecnologia",$A:$A,"Miércoles")</f>
        <v>0</v>
      </c>
      <c r="AM52" s="273">
        <f>+SUMIFS($H:$H,$J:$J,"egresado_ucm",$K:$K,"tecnologia",$A:$A,"Miércoles")</f>
        <v>0</v>
      </c>
      <c r="AN52" s="284">
        <f>+COUNTIFS($J:$J,"egresado_ucm",$K:$K,"tecnologia",$A:$A,"Jueves")</f>
        <v>0</v>
      </c>
      <c r="AO52" s="285">
        <f>+SUMIFS($H:$H,$J:$J,"egresado_ucm",$K:$K,"tecnologia",$A:$A,"Jueves")</f>
        <v>0</v>
      </c>
      <c r="AP52" s="283">
        <f>+COUNTIFS($J:$J,"egresado_ucm",$K:$K,"tecnologia",$A:$A,"viernes")</f>
        <v>0</v>
      </c>
      <c r="AQ52" s="273">
        <f>+SUMIFS($H:$H,$J:$J,"egresado_ucm",$K:$K,"tecnologia",$A:$A,"viernes")</f>
        <v>0</v>
      </c>
      <c r="AR52" s="284">
        <f>+COUNTIFS($J:$J,"egresado_ucm",$K:$K,"tecnologia",$A:$A,"Sábado")</f>
        <v>0</v>
      </c>
      <c r="AS52" s="273">
        <f>+SUMIFS($H:$H,$J:$J,"egresado_ucm",$K:$K,"tecnologia",$A:$A,"Sábado")</f>
        <v>0</v>
      </c>
      <c r="AT52" s="278">
        <f t="shared" si="40"/>
        <v>0</v>
      </c>
      <c r="AU52" s="279">
        <f t="shared" si="39"/>
        <v>0</v>
      </c>
      <c r="AV52" s="87"/>
      <c r="AW52" s="87"/>
      <c r="AX52" s="87"/>
      <c r="AY52" s="87"/>
      <c r="BB52" s="87"/>
      <c r="BE52" s="87"/>
      <c r="BH52" s="87"/>
      <c r="BK52" s="87"/>
    </row>
    <row r="53" spans="1:63" ht="15.75" thickBot="1" x14ac:dyDescent="0.3">
      <c r="A53" s="245" t="str">
        <f t="shared" si="35"/>
        <v>sábado</v>
      </c>
      <c r="B53" s="244"/>
      <c r="C53" s="450"/>
      <c r="D53" s="473"/>
      <c r="E53" s="451"/>
      <c r="F53" s="451"/>
      <c r="G53" s="451"/>
      <c r="H53" s="451"/>
      <c r="I53" s="473"/>
      <c r="J53" s="450"/>
      <c r="K53" s="89"/>
      <c r="L53" s="413"/>
      <c r="M53" s="87"/>
      <c r="N53" s="87"/>
      <c r="O53" s="87"/>
      <c r="P53" s="87"/>
      <c r="Q53" s="286" t="s">
        <v>9</v>
      </c>
      <c r="R53" s="287">
        <f>SUM(R42:R52)</f>
        <v>0</v>
      </c>
      <c r="S53" s="287">
        <f t="shared" ref="S53:AC53" si="41">SUM(S42:S52)</f>
        <v>0</v>
      </c>
      <c r="T53" s="287">
        <f t="shared" si="41"/>
        <v>0</v>
      </c>
      <c r="U53" s="287">
        <f t="shared" si="41"/>
        <v>0</v>
      </c>
      <c r="V53" s="287">
        <f t="shared" si="41"/>
        <v>0</v>
      </c>
      <c r="W53" s="287">
        <f t="shared" si="41"/>
        <v>0</v>
      </c>
      <c r="X53" s="287">
        <f t="shared" si="41"/>
        <v>0</v>
      </c>
      <c r="Y53" s="287">
        <f t="shared" si="41"/>
        <v>0</v>
      </c>
      <c r="Z53" s="287">
        <f t="shared" si="41"/>
        <v>0</v>
      </c>
      <c r="AA53" s="287">
        <f t="shared" si="41"/>
        <v>0</v>
      </c>
      <c r="AB53" s="287">
        <f t="shared" si="41"/>
        <v>0</v>
      </c>
      <c r="AC53" s="288">
        <f t="shared" si="41"/>
        <v>0</v>
      </c>
      <c r="AD53" s="289">
        <f>SUM(AD42:AD52)</f>
        <v>0</v>
      </c>
      <c r="AE53" s="290">
        <f>SUM(AE42:AE52)</f>
        <v>0</v>
      </c>
      <c r="AF53" s="87"/>
      <c r="AG53" s="292" t="s">
        <v>9</v>
      </c>
      <c r="AH53" s="293">
        <f>SUM(AH42:AH52)</f>
        <v>0</v>
      </c>
      <c r="AI53" s="293">
        <f t="shared" ref="AI53:AS53" si="42">SUM(AI42:AI52)</f>
        <v>0</v>
      </c>
      <c r="AJ53" s="293">
        <f t="shared" si="42"/>
        <v>0</v>
      </c>
      <c r="AK53" s="293">
        <f t="shared" si="42"/>
        <v>0</v>
      </c>
      <c r="AL53" s="293">
        <f t="shared" si="42"/>
        <v>0</v>
      </c>
      <c r="AM53" s="293">
        <f t="shared" si="42"/>
        <v>0</v>
      </c>
      <c r="AN53" s="293">
        <f t="shared" si="42"/>
        <v>0</v>
      </c>
      <c r="AO53" s="293">
        <f t="shared" si="42"/>
        <v>0</v>
      </c>
      <c r="AP53" s="293">
        <f t="shared" si="42"/>
        <v>0</v>
      </c>
      <c r="AQ53" s="293">
        <f t="shared" si="42"/>
        <v>0</v>
      </c>
      <c r="AR53" s="293">
        <f t="shared" si="42"/>
        <v>0</v>
      </c>
      <c r="AS53" s="277">
        <f t="shared" si="42"/>
        <v>0</v>
      </c>
      <c r="AT53" s="291">
        <f>SUM(AT42:AT52)</f>
        <v>0</v>
      </c>
      <c r="AU53" s="290">
        <f>SUM(AU42:AU52)</f>
        <v>0</v>
      </c>
      <c r="AV53" s="87"/>
      <c r="AW53" s="87"/>
      <c r="AX53" s="87"/>
      <c r="AY53" s="87"/>
      <c r="BB53" s="87"/>
      <c r="BE53" s="87"/>
      <c r="BH53" s="87"/>
      <c r="BK53" s="87"/>
    </row>
    <row r="54" spans="1:63" s="121" customFormat="1" ht="15.75" thickBot="1" x14ac:dyDescent="0.3">
      <c r="A54" s="245" t="str">
        <f t="shared" si="35"/>
        <v>sábado</v>
      </c>
      <c r="B54" s="244"/>
      <c r="C54" s="453"/>
      <c r="D54" s="487"/>
      <c r="E54" s="451"/>
      <c r="F54" s="451"/>
      <c r="G54" s="451"/>
      <c r="H54" s="451"/>
      <c r="I54" s="487"/>
      <c r="J54" s="450"/>
      <c r="K54" s="120"/>
      <c r="L54" s="415"/>
      <c r="M54" s="87"/>
      <c r="N54" s="87"/>
      <c r="O54" s="87"/>
      <c r="P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</row>
    <row r="55" spans="1:63" s="118" customFormat="1" ht="15.75" thickBot="1" x14ac:dyDescent="0.3">
      <c r="A55" s="245" t="str">
        <f t="shared" si="35"/>
        <v>sábado</v>
      </c>
      <c r="B55" s="244"/>
      <c r="C55" s="453"/>
      <c r="D55" s="487"/>
      <c r="E55" s="451"/>
      <c r="F55" s="451"/>
      <c r="G55" s="451"/>
      <c r="H55" s="451"/>
      <c r="I55" s="487"/>
      <c r="J55" s="450"/>
      <c r="K55" s="87"/>
      <c r="L55" s="413"/>
      <c r="M55" s="87"/>
      <c r="N55" s="87"/>
      <c r="O55" s="87"/>
      <c r="P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</row>
    <row r="56" spans="1:63" s="118" customFormat="1" ht="15.75" thickBot="1" x14ac:dyDescent="0.3">
      <c r="A56" s="245" t="str">
        <f t="shared" si="35"/>
        <v>sábado</v>
      </c>
      <c r="B56" s="244"/>
      <c r="C56" s="450"/>
      <c r="D56" s="487"/>
      <c r="E56" s="451"/>
      <c r="F56" s="451"/>
      <c r="G56" s="451"/>
      <c r="H56" s="451"/>
      <c r="I56" s="487"/>
      <c r="J56" s="450"/>
      <c r="K56" s="42"/>
      <c r="L56" s="488"/>
      <c r="M56" s="87"/>
      <c r="N56" s="87"/>
      <c r="O56" s="87"/>
      <c r="P56" s="87"/>
      <c r="Q56" s="650" t="s">
        <v>121</v>
      </c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2"/>
      <c r="AE56" s="87"/>
      <c r="AF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</row>
    <row r="57" spans="1:63" s="118" customFormat="1" ht="15.75" thickBot="1" x14ac:dyDescent="0.3">
      <c r="A57" s="245" t="str">
        <f t="shared" si="35"/>
        <v>sábado</v>
      </c>
      <c r="B57" s="244"/>
      <c r="C57" s="450"/>
      <c r="D57" s="487"/>
      <c r="E57" s="451"/>
      <c r="F57" s="451"/>
      <c r="G57" s="451"/>
      <c r="H57" s="451"/>
      <c r="I57" s="487"/>
      <c r="J57" s="450"/>
      <c r="K57" s="89"/>
      <c r="L57" s="413"/>
      <c r="M57" s="87"/>
      <c r="N57" s="87"/>
      <c r="O57" s="87"/>
      <c r="P57" s="87"/>
      <c r="Q57" s="268"/>
      <c r="R57" s="653" t="s">
        <v>105</v>
      </c>
      <c r="S57" s="654"/>
      <c r="T57" s="653" t="s">
        <v>106</v>
      </c>
      <c r="U57" s="654"/>
      <c r="V57" s="653" t="s">
        <v>111</v>
      </c>
      <c r="W57" s="654"/>
      <c r="X57" s="653" t="s">
        <v>107</v>
      </c>
      <c r="Y57" s="654"/>
      <c r="Z57" s="653" t="s">
        <v>108</v>
      </c>
      <c r="AA57" s="654"/>
      <c r="AB57" s="653" t="s">
        <v>112</v>
      </c>
      <c r="AC57" s="654"/>
      <c r="AE57" s="87"/>
      <c r="AF57" s="87"/>
      <c r="AG57" s="268"/>
      <c r="AH57" s="649" t="s">
        <v>105</v>
      </c>
      <c r="AI57" s="645"/>
      <c r="AJ57" s="645" t="s">
        <v>106</v>
      </c>
      <c r="AK57" s="645"/>
      <c r="AL57" s="645" t="s">
        <v>111</v>
      </c>
      <c r="AM57" s="645"/>
      <c r="AN57" s="645" t="s">
        <v>107</v>
      </c>
      <c r="AO57" s="645"/>
      <c r="AP57" s="645" t="s">
        <v>108</v>
      </c>
      <c r="AQ57" s="645"/>
      <c r="AR57" s="645" t="s">
        <v>112</v>
      </c>
      <c r="AS57" s="646"/>
      <c r="AT57" s="647"/>
      <c r="AU57" s="648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</row>
    <row r="58" spans="1:63" s="87" customFormat="1" ht="15.75" thickBot="1" x14ac:dyDescent="0.3">
      <c r="A58" s="245" t="str">
        <f t="shared" si="35"/>
        <v>sábado</v>
      </c>
      <c r="B58" s="244"/>
      <c r="C58" s="450"/>
      <c r="D58" s="487"/>
      <c r="E58" s="451"/>
      <c r="F58" s="451"/>
      <c r="G58" s="451"/>
      <c r="H58" s="451"/>
      <c r="I58" s="487"/>
      <c r="J58" s="450"/>
      <c r="K58" s="89"/>
      <c r="L58" s="413"/>
      <c r="Q58" s="272" t="s">
        <v>124</v>
      </c>
      <c r="R58" s="266" t="s">
        <v>109</v>
      </c>
      <c r="S58" s="265" t="s">
        <v>117</v>
      </c>
      <c r="T58" s="264" t="s">
        <v>109</v>
      </c>
      <c r="U58" s="265" t="s">
        <v>117</v>
      </c>
      <c r="V58" s="264" t="s">
        <v>109</v>
      </c>
      <c r="W58" s="265" t="s">
        <v>117</v>
      </c>
      <c r="X58" s="266" t="s">
        <v>109</v>
      </c>
      <c r="Y58" s="267" t="s">
        <v>117</v>
      </c>
      <c r="Z58" s="264" t="s">
        <v>109</v>
      </c>
      <c r="AA58" s="265" t="s">
        <v>117</v>
      </c>
      <c r="AB58" s="266" t="s">
        <v>109</v>
      </c>
      <c r="AC58" s="265" t="s">
        <v>117</v>
      </c>
      <c r="AD58" s="280" t="s">
        <v>150</v>
      </c>
      <c r="AE58" s="281" t="s">
        <v>151</v>
      </c>
      <c r="AG58" s="296"/>
      <c r="AH58" s="301" t="s">
        <v>109</v>
      </c>
      <c r="AI58" s="302" t="s">
        <v>117</v>
      </c>
      <c r="AJ58" s="302" t="s">
        <v>109</v>
      </c>
      <c r="AK58" s="302" t="s">
        <v>117</v>
      </c>
      <c r="AL58" s="302" t="s">
        <v>109</v>
      </c>
      <c r="AM58" s="302" t="s">
        <v>117</v>
      </c>
      <c r="AN58" s="302" t="s">
        <v>109</v>
      </c>
      <c r="AO58" s="302" t="s">
        <v>117</v>
      </c>
      <c r="AP58" s="302" t="s">
        <v>109</v>
      </c>
      <c r="AQ58" s="302" t="s">
        <v>117</v>
      </c>
      <c r="AR58" s="302" t="s">
        <v>109</v>
      </c>
      <c r="AS58" s="303" t="s">
        <v>117</v>
      </c>
      <c r="AT58" s="264" t="s">
        <v>150</v>
      </c>
      <c r="AU58" s="265" t="s">
        <v>151</v>
      </c>
    </row>
    <row r="59" spans="1:63" ht="15.75" thickBot="1" x14ac:dyDescent="0.3">
      <c r="A59" s="245" t="str">
        <f t="shared" si="35"/>
        <v>sábado</v>
      </c>
      <c r="B59" s="244"/>
      <c r="C59" s="450"/>
      <c r="D59" s="451"/>
      <c r="E59" s="451"/>
      <c r="F59" s="451"/>
      <c r="G59" s="451"/>
      <c r="H59" s="451"/>
      <c r="I59" s="490"/>
      <c r="J59" s="450"/>
      <c r="K59" s="89"/>
      <c r="L59" s="413"/>
      <c r="M59" s="87"/>
      <c r="N59" s="87"/>
      <c r="O59" s="87"/>
      <c r="P59" s="87"/>
      <c r="Q59" s="270" t="s">
        <v>125</v>
      </c>
      <c r="R59" s="255">
        <f>+COUNTIFS($J:$J,"estudiante_externo",$K:$K,"U. Nacional",$A:$A,"lunes")</f>
        <v>0</v>
      </c>
      <c r="S59" s="248">
        <f>+SUMIFS($H:$H,$J:$J,"estudiante_externo",$K:$K,"u. nacional",$A:$A,"lunes")</f>
        <v>0</v>
      </c>
      <c r="T59" s="247">
        <f>+COUNTIFS($J:$J,"estudiante_externo",$K:$K,"U. Nacional",$A:$A,"martes")</f>
        <v>0</v>
      </c>
      <c r="U59" s="248">
        <f>+SUMIFS($H:$H,$J:$J,"estudiante_externo",$K:$K,"u. nacional",$A:$A,"martes")</f>
        <v>0</v>
      </c>
      <c r="V59" s="247">
        <f>+COUNTIFS($J:$J,"estudiante_externo",$K:$K,"U. Nacional",$A:$A,"miércoles")</f>
        <v>0</v>
      </c>
      <c r="W59" s="248">
        <f>+SUMIFS($H:$H,$J:$J,"estudiante_externo",$K:$K,"u. nacional",$A:$A,"miércoles")</f>
        <v>0</v>
      </c>
      <c r="X59" s="247">
        <f>+COUNTIFS($J:$J,"estudiante_externo",$K:$K,"U. Nacional",$A:$A,"jueves")</f>
        <v>0</v>
      </c>
      <c r="Y59" s="248">
        <f>+SUMIFS($H:$H,$J:$J,"estudiante_externo",$K:$K,"u. nacional",$A:$A,"jueves")</f>
        <v>0</v>
      </c>
      <c r="Z59" s="247">
        <f>+COUNTIFS($J:$J,"estudiante_externo",$K:$K,"U. Nacional",$A:$A,"Viernes")</f>
        <v>0</v>
      </c>
      <c r="AA59" s="248">
        <f>+SUMIFS($H:$H,$J:$J,"estudiante_externo",$K:$K,"u. nacional",$A:$A,"Viernes")</f>
        <v>0</v>
      </c>
      <c r="AB59" s="247">
        <f>+COUNTIFS($J:$J,"estudiante_externo",$K:$K,"U. Nacional",$A:$A,"sábado")</f>
        <v>0</v>
      </c>
      <c r="AC59" s="248">
        <f>+SUMIFS($H:$H,$J:$J,"estudiante_externo",$K:$K,"u. nacional",$A:$A,"sábado")</f>
        <v>0</v>
      </c>
      <c r="AD59" s="257">
        <f>+R59+T59+V59+X59+Z59+AB59</f>
        <v>0</v>
      </c>
      <c r="AE59" s="252">
        <f>+S59+U59+W59+Y59+AA59+AC59</f>
        <v>0</v>
      </c>
      <c r="AF59" s="87"/>
      <c r="AG59" s="269" t="s">
        <v>152</v>
      </c>
      <c r="AH59" s="298">
        <f>+COUNTIFS($J:$J,"colaborador",$A:$A,"lunes")</f>
        <v>0</v>
      </c>
      <c r="AI59" s="299">
        <f>+SUMIFS($H:$H,$J:$J,"colaborador",$A:$A,"lunes")</f>
        <v>0</v>
      </c>
      <c r="AJ59" s="299">
        <f>+COUNTIFS($J:$J,"colaborador",$A:$A,"Martes")</f>
        <v>0</v>
      </c>
      <c r="AK59" s="299">
        <f>+SUMIFS($H:$H,$J:$J,"colaborador",$A:$A,"Martes")</f>
        <v>0</v>
      </c>
      <c r="AL59" s="299">
        <f>+COUNTIFS($J:$J,"colaborador",$A:$A,"miércoles")</f>
        <v>0</v>
      </c>
      <c r="AM59" s="299">
        <f>+SUMIFS($H:$H,$J:$J,"colaborador",$A:$A,"miércoles")</f>
        <v>0</v>
      </c>
      <c r="AN59" s="299">
        <f>+COUNTIFS($J:$J,"colaborador",$A:$A,"Jueves")</f>
        <v>0</v>
      </c>
      <c r="AO59" s="299">
        <f>+SUMIFS($H:$H,$J:$J,"colaborador",$A:$A,"Jueves")</f>
        <v>0</v>
      </c>
      <c r="AP59" s="299">
        <f>+COUNTIFS($J:$J,"colaborador",$A:$A,"viernes")</f>
        <v>0</v>
      </c>
      <c r="AQ59" s="299">
        <f>+SUMIFS($H:$H,$J:$J,"colaborador",$A:$A,"viernes")</f>
        <v>0</v>
      </c>
      <c r="AR59" s="299">
        <f>+COUNTIFS($J:$J,"colaborador",$A:$A,"sábado")</f>
        <v>0</v>
      </c>
      <c r="AS59" s="300">
        <f>+SUMIFS($H:$H,$J:$J,"colaborador",$A:$A,"sábado")</f>
        <v>0</v>
      </c>
      <c r="AT59" s="247">
        <f>+AH59+AJ59+AL59+AN59+AP59+AR59</f>
        <v>0</v>
      </c>
      <c r="AU59" s="248">
        <f>+AI59+AK59+AM59+AO59+AQ59+AS59</f>
        <v>0</v>
      </c>
      <c r="AV59" s="87"/>
      <c r="AW59" s="87"/>
      <c r="AX59" s="87"/>
      <c r="AY59" s="87"/>
      <c r="BB59" s="87"/>
      <c r="BE59" s="87"/>
      <c r="BH59" s="87"/>
      <c r="BK59" s="87"/>
    </row>
    <row r="60" spans="1:63" s="87" customFormat="1" ht="15.75" thickBot="1" x14ac:dyDescent="0.3">
      <c r="A60" s="245" t="str">
        <f t="shared" si="35"/>
        <v>sábado</v>
      </c>
      <c r="B60" s="244"/>
      <c r="C60" s="450"/>
      <c r="D60" s="490"/>
      <c r="E60" s="451"/>
      <c r="F60" s="451"/>
      <c r="G60" s="451"/>
      <c r="H60" s="451"/>
      <c r="I60" s="490"/>
      <c r="J60" s="450"/>
      <c r="K60" s="89"/>
      <c r="L60" s="413"/>
      <c r="Q60" s="270" t="s">
        <v>87</v>
      </c>
      <c r="R60" s="255">
        <f>+COUNTIFS($J:$J,"estudiante_externo",$K:$K,"u. manizales",$A:$A,"lunes")</f>
        <v>0</v>
      </c>
      <c r="S60" s="248">
        <f>+SUMIFS($H:$H,$J:$J,"estudiante_externo",$K:$K,"u. manizales",$A:$A,"lunes")</f>
        <v>0</v>
      </c>
      <c r="T60" s="247">
        <f>+COUNTIFS($J:$J,"estudiante_externo",$K:$K,"u. manizales",$A:$A,"martes")</f>
        <v>0</v>
      </c>
      <c r="U60" s="248">
        <f>+SUMIFS($H:$H,$J:$J,"estudiante_externo",$K:$K,"u. manizales",$A:$A,"martes")</f>
        <v>0</v>
      </c>
      <c r="V60" s="247">
        <f>+COUNTIFS($J:$J,"estudiante_externo",$K:$K,"u. manizales",$A:$A,"miércoles")</f>
        <v>0</v>
      </c>
      <c r="W60" s="248">
        <f>+SUMIFS($H:$H,$J:$J,"estudiante_externo",$K:$K,"u. manizales",$A:$A,"miércoles")</f>
        <v>0</v>
      </c>
      <c r="X60" s="247">
        <f>+COUNTIFS($J:$J,"estudiante_externo",$K:$K,"u. manizales",$A:$A,"jueves")</f>
        <v>0</v>
      </c>
      <c r="Y60" s="248">
        <f>+SUMIFS($H:$H,$J:$J,"estudiante_externo",$K:$K,"u. manizales",$A:$A,"jueves")</f>
        <v>0</v>
      </c>
      <c r="Z60" s="247">
        <f>+COUNTIFS($J:$J,"estudiante_externo",$K:$K,"u. manizales",$A:$A,"Viernes")</f>
        <v>0</v>
      </c>
      <c r="AA60" s="248">
        <f>+SUMIFS($H:$H,$J:$J,"estudiante_externo",$K:$K,"u. manizales",$A:$A,"Viernes")</f>
        <v>0</v>
      </c>
      <c r="AB60" s="247">
        <f>+COUNTIFS($J:$J,"estudiante_externo",$K:$K,"u. manizales",$A:$A,"sábado")</f>
        <v>0</v>
      </c>
      <c r="AC60" s="248">
        <f>+SUMIFS($H:$H,$J:$J,"estudiante_externo",$K:$K,"u. manizales",$A:$A,"sábado")</f>
        <v>0</v>
      </c>
      <c r="AD60" s="257">
        <f t="shared" ref="AD60:AD65" si="43">+R60+T60+V60+X60+Z60+AB60</f>
        <v>0</v>
      </c>
      <c r="AE60" s="252">
        <f t="shared" ref="AE60:AE66" si="44">+S60+U60+W60+Y60+AA60+AC60</f>
        <v>0</v>
      </c>
      <c r="AG60" s="296" t="s">
        <v>153</v>
      </c>
      <c r="AH60" s="255">
        <f>+COUNTIFS($J:$J,"particular",$A:$A,"lunes")</f>
        <v>0</v>
      </c>
      <c r="AI60" s="246">
        <f>+SUMIFS($H:$H,$J:$J,"particular",$A:$A,"lunes")</f>
        <v>0</v>
      </c>
      <c r="AJ60" s="246">
        <f>+COUNTIFS($J:$J,"particular",$A:$A,"Martes")</f>
        <v>0</v>
      </c>
      <c r="AK60" s="246">
        <f>+SUMIFS($H:$H,$J:$J,"particular",$A:$A,"Martes")</f>
        <v>0</v>
      </c>
      <c r="AL60" s="246">
        <f>+COUNTIFS($J:$J,"particular",$A:$A,"miércoles")</f>
        <v>0</v>
      </c>
      <c r="AM60" s="246">
        <f>+SUMIFS($H:$H,$J:$J,"particular",$A:$A,"miércoles")</f>
        <v>0</v>
      </c>
      <c r="AN60" s="246">
        <f>+COUNTIFS($J:$J,"particular",$A:$A,"Jueves")</f>
        <v>0</v>
      </c>
      <c r="AO60" s="246">
        <f>+SUMIFS($H:$H,$J:$J,"particular",$A:$A,"Jueves")</f>
        <v>0</v>
      </c>
      <c r="AP60" s="246">
        <f>+COUNTIFS($J:$J,"particular",$A:$A,"viernes")</f>
        <v>0</v>
      </c>
      <c r="AQ60" s="246">
        <f>+SUMIFS($H:$H,$J:$J,"particular",$A:$A,"viernes")</f>
        <v>0</v>
      </c>
      <c r="AR60" s="246">
        <f>+COUNTIFS($J:$J,"particular",$A:$A,"sábado")</f>
        <v>0</v>
      </c>
      <c r="AS60" s="258">
        <f>+SUMIFS($H:$H,$J:$J,"particular",$A:$A,"sábado")</f>
        <v>0</v>
      </c>
      <c r="AT60" s="247">
        <f t="shared" ref="AT60:AT63" si="45">+AH60+AJ60+AL60+AN60+AP60+AR60</f>
        <v>0</v>
      </c>
      <c r="AU60" s="248">
        <f t="shared" ref="AU60:AU64" si="46">+AI60+AK60+AM60+AO60+AQ60+AS60</f>
        <v>0</v>
      </c>
    </row>
    <row r="61" spans="1:63" ht="15.75" thickBot="1" x14ac:dyDescent="0.3">
      <c r="A61" s="245" t="str">
        <f t="shared" si="35"/>
        <v>sábado</v>
      </c>
      <c r="B61" s="244"/>
      <c r="C61" s="492"/>
      <c r="D61" s="491"/>
      <c r="E61" s="451"/>
      <c r="F61" s="451"/>
      <c r="G61" s="451"/>
      <c r="H61" s="451"/>
      <c r="I61" s="491"/>
      <c r="J61" s="450"/>
      <c r="K61" s="89"/>
      <c r="L61" s="413"/>
      <c r="M61" s="87"/>
      <c r="N61" s="87"/>
      <c r="O61" s="87"/>
      <c r="P61" s="87"/>
      <c r="Q61" s="270" t="s">
        <v>88</v>
      </c>
      <c r="R61" s="255">
        <f>+COUNTIFS($J:$J,"estudiante_externo",$K:$K,"u. caldas",$A:$A,"lunes")</f>
        <v>0</v>
      </c>
      <c r="S61" s="248">
        <f>+SUMIFS($H:$H,$J:$J,"estudiante_externo",$K:$K,"u. caldas",$A:$A,"lunes")</f>
        <v>0</v>
      </c>
      <c r="T61" s="247">
        <f>+COUNTIFS($J:$J,"estudiante_externo",$K:$K,"u. caldas",$A:$A,"martes")</f>
        <v>0</v>
      </c>
      <c r="U61" s="248">
        <f>+SUMIFS($H:$H,$J:$J,"estudiante_externo",$K:$K,"u. caldas",$A:$A,"martes")</f>
        <v>0</v>
      </c>
      <c r="V61" s="247">
        <f>+COUNTIFS($J:$J,"estudiante_externo",$K:$K,"u. caldas",$A:$A,"miércoles")</f>
        <v>0</v>
      </c>
      <c r="W61" s="248">
        <f>+SUMIFS($H:$H,$J:$J,"estudiante_externo",$K:$K,"u. caldas",$A:$A,"miércoles")</f>
        <v>0</v>
      </c>
      <c r="X61" s="247">
        <f>+COUNTIFS($J:$J,"estudiante_externo",$K:$K,"u. caldas",$A:$A,"jueves")</f>
        <v>0</v>
      </c>
      <c r="Y61" s="248">
        <f>+SUMIFS($H:$H,$J:$J,"estudiante_externo",$K:$K,"u. caldas",$A:$A,"jueves")</f>
        <v>0</v>
      </c>
      <c r="Z61" s="247">
        <f>+COUNTIFS($J:$J,"estudiante_externo",$K:$K,"u. caldas",$A:$A,"Viernes")</f>
        <v>0</v>
      </c>
      <c r="AA61" s="248">
        <f>+SUMIFS($H:$H,$J:$J,"estudiante_externo",$K:$K,"u. caldas",$A:$A,"Viernes")</f>
        <v>0</v>
      </c>
      <c r="AB61" s="247">
        <f>+COUNTIFS($J:$J,"estudiante_externo",$K:$K,"u. caldas",$A:$A,"sábado")</f>
        <v>0</v>
      </c>
      <c r="AC61" s="248">
        <f>+SUMIFS($H:$H,$J:$J,"estudiante_externo",$K:$K,"u. caldas",$A:$A,"sábado")</f>
        <v>0</v>
      </c>
      <c r="AD61" s="257">
        <f t="shared" si="43"/>
        <v>0</v>
      </c>
      <c r="AE61" s="252">
        <f t="shared" si="44"/>
        <v>0</v>
      </c>
      <c r="AF61" s="87"/>
      <c r="AG61" s="296" t="s">
        <v>154</v>
      </c>
      <c r="AH61" s="255">
        <f>+COUNTIFS($J:$J,"ucm",$A:$A,"lunes")</f>
        <v>0</v>
      </c>
      <c r="AI61" s="246">
        <f>+SUMIFS($H:$H,$J:$J,"ucm",$A:$A,"lunes")</f>
        <v>0</v>
      </c>
      <c r="AJ61" s="246">
        <f>+COUNTIFS($J:$J,"ucm",$A:$A,"Martes")</f>
        <v>0</v>
      </c>
      <c r="AK61" s="246">
        <f>+SUMIFS($H:$H,$J:$J,"ucm",$A:$A,"Martes")</f>
        <v>0</v>
      </c>
      <c r="AL61" s="246">
        <f>+COUNTIFS($J:$J,"ucm",$A:$A,"miércoles")</f>
        <v>0</v>
      </c>
      <c r="AM61" s="246">
        <f>+SUMIFS($H:$H,$J:$J,"ucm",$A:$A,"miércoles")</f>
        <v>0</v>
      </c>
      <c r="AN61" s="246">
        <f>+COUNTIFS($J:$J,"ucm",$A:$A,"Jueves")</f>
        <v>0</v>
      </c>
      <c r="AO61" s="246">
        <f>+SUMIFS($H:$H,$J:$J,"ucm",$A:$A,"Jueves")</f>
        <v>0</v>
      </c>
      <c r="AP61" s="246">
        <f>+COUNTIFS($J:$J,"ucm",$A:$A,"viernes")</f>
        <v>0</v>
      </c>
      <c r="AQ61" s="246">
        <f>+SUMIFS($H:$H,$J:$J,"ucm",$A:$A,"viernes")</f>
        <v>0</v>
      </c>
      <c r="AR61" s="246">
        <f>+COUNTIFS($J:$J,"ucm",$A:$A,"sábado")</f>
        <v>0</v>
      </c>
      <c r="AS61" s="258">
        <f>+SUMIFS($H:$H,$J:$J,"ucm",$A:$A,"sábado")</f>
        <v>0</v>
      </c>
      <c r="AT61" s="247">
        <f t="shared" si="45"/>
        <v>0</v>
      </c>
      <c r="AU61" s="248">
        <f t="shared" si="46"/>
        <v>0</v>
      </c>
      <c r="AV61" s="87"/>
      <c r="AW61" s="87"/>
      <c r="AX61" s="87"/>
      <c r="AY61" s="87"/>
      <c r="BB61" s="87"/>
      <c r="BE61" s="87"/>
      <c r="BH61" s="87"/>
      <c r="BK61" s="87"/>
    </row>
    <row r="62" spans="1:63" ht="15.75" thickBot="1" x14ac:dyDescent="0.3">
      <c r="A62" s="245" t="str">
        <f t="shared" si="35"/>
        <v>sábado</v>
      </c>
      <c r="B62" s="244"/>
      <c r="C62" s="450"/>
      <c r="D62" s="491"/>
      <c r="E62" s="451"/>
      <c r="F62" s="451"/>
      <c r="G62" s="451"/>
      <c r="H62" s="451"/>
      <c r="I62" s="491"/>
      <c r="J62" s="450"/>
      <c r="K62" s="86"/>
      <c r="L62" s="413"/>
      <c r="M62" s="87"/>
      <c r="N62" s="87"/>
      <c r="O62" s="87"/>
      <c r="P62" s="87"/>
      <c r="Q62" s="270" t="s">
        <v>89</v>
      </c>
      <c r="R62" s="255">
        <f>+COUNTIFS($J:$J,"estudiante_externo",$K:$K,"u. autonoma",$A:$A,"lunes")</f>
        <v>0</v>
      </c>
      <c r="S62" s="248">
        <f>+SUMIFS($H:$H,$J:$J,"estudiante_externo",$K:$K,"u. autonoma",$A:$A,"lunes")</f>
        <v>0</v>
      </c>
      <c r="T62" s="247">
        <f>+COUNTIFS($J:$J,"estudiante_externo",$K:$K,"u. autonoma",$A:$A,"martes")</f>
        <v>0</v>
      </c>
      <c r="U62" s="248">
        <f>+SUMIFS($H:$H,$J:$J,"estudiante_externo",$K:$K,"u. autonoma",$A:$A,"martes")</f>
        <v>0</v>
      </c>
      <c r="V62" s="247">
        <f>+COUNTIFS($J:$J,"estudiante_externo",$K:$K,"u. autonoma",$A:$A,"miércoles")</f>
        <v>0</v>
      </c>
      <c r="W62" s="248">
        <f>+SUMIFS($H:$H,$J:$J,"estudiante_externo",$K:$K,"u. autonoma",$A:$A,"miércoles")</f>
        <v>0</v>
      </c>
      <c r="X62" s="247">
        <f>+COUNTIFS($J:$J,"estudiante_externo",$K:$K,"u. autonoma",$A:$A,"jueves")</f>
        <v>0</v>
      </c>
      <c r="Y62" s="248">
        <f>+SUMIFS($H:$H,$J:$J,"estudiante_externo",$K:$K,"u. autonoma",$A:$A,"jueves")</f>
        <v>0</v>
      </c>
      <c r="Z62" s="247">
        <f>+COUNTIFS($J:$J,"estudiante_externo",$K:$K,"u. autonoma",$A:$A,"Viernes")</f>
        <v>0</v>
      </c>
      <c r="AA62" s="248">
        <f>+SUMIFS($H:$H,$J:$J,"estudiante_externo",$K:$K,"u. autonoma",$A:$A,"Viernes")</f>
        <v>0</v>
      </c>
      <c r="AB62" s="247">
        <f>+COUNTIFS($J:$J,"estudiante_externo",$K:$K,"u. autonoma",$A:$A,"sábado")</f>
        <v>0</v>
      </c>
      <c r="AC62" s="248">
        <f>+SUMIFS($H:$H,$J:$J,"estudiante_externo",$K:$K,"u. autonoma",$A:$A,"sábado")</f>
        <v>0</v>
      </c>
      <c r="AD62" s="257">
        <f t="shared" si="43"/>
        <v>0</v>
      </c>
      <c r="AE62" s="252">
        <f t="shared" si="44"/>
        <v>0</v>
      </c>
      <c r="AF62" s="87"/>
      <c r="AG62" s="296" t="s">
        <v>155</v>
      </c>
      <c r="AH62" s="255">
        <f>+COUNTIFS($J:$J,"convenio",$A:$A,"lunes")</f>
        <v>0</v>
      </c>
      <c r="AI62" s="246">
        <f>+SUMIFS($H:$H,$J:$J,"convenio",$A:$A,"lunes")</f>
        <v>0</v>
      </c>
      <c r="AJ62" s="246">
        <f>+COUNTIFS($J:$J,"convenio",$A:$A,"Martes")</f>
        <v>0</v>
      </c>
      <c r="AK62" s="246">
        <f>+SUMIFS($H:$H,$J:$J,"convenio",$A:$A,"Martes")</f>
        <v>0</v>
      </c>
      <c r="AL62" s="246">
        <f>+COUNTIFS($J:$J,"convenio",$A:$A,"miércoles")</f>
        <v>0</v>
      </c>
      <c r="AM62" s="246">
        <f>+SUMIFS($H:$H,$J:$J,"convenio",$A:$A,"miércoles")</f>
        <v>0</v>
      </c>
      <c r="AN62" s="246">
        <f>+COUNTIFS($J:$J,"convenio",$A:$A,"Jueves")</f>
        <v>0</v>
      </c>
      <c r="AO62" s="246">
        <f>+SUMIFS($H:$H,$J:$J,"convenio",$A:$A,"Jueves")</f>
        <v>0</v>
      </c>
      <c r="AP62" s="246">
        <f>+COUNTIFS($J:$J,"convenio",$A:$A,"viernes")</f>
        <v>0</v>
      </c>
      <c r="AQ62" s="246">
        <f>+SUMIFS($H:$H,$J:$J,"convenio",$A:$A,"viernes")</f>
        <v>0</v>
      </c>
      <c r="AR62" s="246">
        <f>+COUNTIFS($J:$J,"convenio",$A:$A,"sábado")</f>
        <v>0</v>
      </c>
      <c r="AS62" s="258">
        <f>+SUMIFS($H:$H,$J:$J,"convenio",$A:$A,"sábado")</f>
        <v>0</v>
      </c>
      <c r="AT62" s="247">
        <f t="shared" si="45"/>
        <v>0</v>
      </c>
      <c r="AU62" s="248">
        <f t="shared" si="46"/>
        <v>0</v>
      </c>
      <c r="AV62" s="87"/>
      <c r="AW62" s="87"/>
      <c r="AX62" s="87"/>
      <c r="AY62" s="87"/>
      <c r="BB62" s="87"/>
      <c r="BE62" s="87"/>
      <c r="BH62" s="87"/>
      <c r="BK62" s="87"/>
    </row>
    <row r="63" spans="1:63" s="118" customFormat="1" ht="15.75" thickBot="1" x14ac:dyDescent="0.3">
      <c r="A63" s="245" t="str">
        <f t="shared" si="35"/>
        <v>sábado</v>
      </c>
      <c r="B63" s="244"/>
      <c r="C63" s="452"/>
      <c r="D63" s="491"/>
      <c r="E63" s="451"/>
      <c r="F63" s="451"/>
      <c r="G63" s="451"/>
      <c r="H63" s="451"/>
      <c r="I63" s="491"/>
      <c r="J63" s="450"/>
      <c r="K63" s="89"/>
      <c r="L63" s="413"/>
      <c r="M63" s="87"/>
      <c r="N63" s="87"/>
      <c r="O63" s="87"/>
      <c r="P63" s="87"/>
      <c r="Q63" s="270" t="s">
        <v>90</v>
      </c>
      <c r="R63" s="255">
        <f>+COUNTIFS($J:$J,"estudiante_externo",$K:$K,"u. remington",$A:$A,"lunes")</f>
        <v>0</v>
      </c>
      <c r="S63" s="248">
        <f>+SUMIFS($H:$H,$J:$J,"estudiante_externo",$K:$K,"u. remington",$A:$A,"lunes")</f>
        <v>0</v>
      </c>
      <c r="T63" s="247">
        <f>+COUNTIFS($J:$J,"estudiante_externo",$K:$K,"u. remington",$A:$A,"martes")</f>
        <v>0</v>
      </c>
      <c r="U63" s="248">
        <f>+SUMIFS($H:$H,$J:$J,"estudiante_externo",$K:$K,"u. remington",$A:$A,"martes")</f>
        <v>0</v>
      </c>
      <c r="V63" s="247">
        <f>+COUNTIFS($J:$J,"estudiante_externo",$K:$K,"u. remington",$A:$A,"miércoles")</f>
        <v>0</v>
      </c>
      <c r="W63" s="248">
        <f>+SUMIFS($H:$H,$J:$J,"estudiante_externo",$K:$K,"u. remington",$A:$A,"miércoles")</f>
        <v>0</v>
      </c>
      <c r="X63" s="247">
        <f>+COUNTIFS($J:$J,"estudiante_externo",$K:$K,"u. remington",$A:$A,"jueves")</f>
        <v>0</v>
      </c>
      <c r="Y63" s="248">
        <f>+SUMIFS($H:$H,$J:$J,"estudiante_externo",$K:$K,"u. remington",$A:$A,"jueves")</f>
        <v>0</v>
      </c>
      <c r="Z63" s="247">
        <f>+COUNTIFS($J:$J,"estudiante_externo",$K:$K,"u. remington",$A:$A,"Viernes")</f>
        <v>0</v>
      </c>
      <c r="AA63" s="248">
        <f>+SUMIFS($H:$H,$J:$J,"estudiante_externo",$K:$K,"u. remington",$A:$A,"Viernes")</f>
        <v>0</v>
      </c>
      <c r="AB63" s="247">
        <f>+COUNTIFS($J:$J,"estudiante_externo",$K:$K,"u. remington",$A:$A,"sábado")</f>
        <v>0</v>
      </c>
      <c r="AC63" s="248">
        <f>+SUMIFS($H:$H,$J:$J,"estudiante_externo",$K:$K,"u. remington",$A:$A,"sábado")</f>
        <v>0</v>
      </c>
      <c r="AD63" s="257">
        <f t="shared" si="43"/>
        <v>0</v>
      </c>
      <c r="AE63" s="252">
        <f t="shared" si="44"/>
        <v>0</v>
      </c>
      <c r="AF63" s="87"/>
      <c r="AG63" s="296" t="s">
        <v>156</v>
      </c>
      <c r="AH63" s="255">
        <f>+COUNTIFS($J:$J,"torneo",$A:$A,"lunes")</f>
        <v>0</v>
      </c>
      <c r="AI63" s="246">
        <f>+SUMIFS($H:$H,$J:$J,"torneo",$A:$A,"lunes")</f>
        <v>0</v>
      </c>
      <c r="AJ63" s="246">
        <f>+COUNTIFS($J:$J,"torneo",$A:$A,"martes")</f>
        <v>0</v>
      </c>
      <c r="AK63" s="246">
        <f>+SUMIFS($H:$H,$J:$J,"torneo",$A:$A,"Martes")</f>
        <v>0</v>
      </c>
      <c r="AL63" s="246">
        <f>+COUNTIFS($J:$J,"torneo",$A:$A,"miércoles")</f>
        <v>0</v>
      </c>
      <c r="AM63" s="246">
        <f>+SUMIFS($H:$H,$J:$J,"torneo",$A:$A,"miércoles")</f>
        <v>0</v>
      </c>
      <c r="AN63" s="246">
        <f>+COUNTIFS($J:$J,"torneo",$A:$A,"Jueves")</f>
        <v>0</v>
      </c>
      <c r="AO63" s="246">
        <f>+SUMIFS($H:$H,$J:$J,"torneo",$A:$A,"Jueves")</f>
        <v>0</v>
      </c>
      <c r="AP63" s="246">
        <f>+COUNTIFS($J:$J,"torneo",$A:$A,"viernes")</f>
        <v>0</v>
      </c>
      <c r="AQ63" s="246">
        <f>+COUNTIFS($J:$J,"torneo",$A:$A,"viernes")</f>
        <v>0</v>
      </c>
      <c r="AR63" s="246">
        <f>+COUNTIFS($J:$J,"torneo",$A:$A,"Sábado")</f>
        <v>0</v>
      </c>
      <c r="AS63" s="258">
        <f>+SUMIFS($H:$H,$J:$J,"torneo",$A:$A,"sábado")</f>
        <v>0</v>
      </c>
      <c r="AT63" s="247">
        <f t="shared" si="45"/>
        <v>0</v>
      </c>
      <c r="AU63" s="248">
        <f t="shared" si="46"/>
        <v>0</v>
      </c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</row>
    <row r="64" spans="1:63" s="118" customFormat="1" ht="15.75" thickBot="1" x14ac:dyDescent="0.3">
      <c r="A64" s="245" t="str">
        <f t="shared" si="35"/>
        <v>sábado</v>
      </c>
      <c r="B64" s="244"/>
      <c r="C64" s="450"/>
      <c r="D64" s="491"/>
      <c r="E64" s="451"/>
      <c r="F64" s="451"/>
      <c r="G64" s="451"/>
      <c r="H64" s="451"/>
      <c r="I64" s="491"/>
      <c r="J64" s="450"/>
      <c r="K64" s="89"/>
      <c r="L64" s="413"/>
      <c r="M64" s="87"/>
      <c r="N64" s="87"/>
      <c r="O64" s="87"/>
      <c r="P64" s="87"/>
      <c r="Q64" s="270" t="s">
        <v>91</v>
      </c>
      <c r="R64" s="255">
        <f>+COUNTIFS($J:$J,"estudiante_externo",$K:$K,"u. luis amigó",$A:$A,"lunes")</f>
        <v>0</v>
      </c>
      <c r="S64" s="248">
        <f>+SUMIFS($H:$H,$J:$J,"estudiante_externo",$K:$K,"u. luis amigó",$A:$A,"lunes")</f>
        <v>0</v>
      </c>
      <c r="T64" s="247">
        <f>+COUNTIFS($J:$J,"estudiante_externo",$K:$K,"u. luis amigó",$A:$A,"martes")</f>
        <v>0</v>
      </c>
      <c r="U64" s="248">
        <f>+SUMIFS($H:$H,$J:$J,"estudiante_externo",$K:$K,"u. luis amigó",$A:$A,"martes")</f>
        <v>0</v>
      </c>
      <c r="V64" s="247">
        <f>+COUNTIFS($J:$J,"estudiante_externo",$K:$K,"u. luis amigó",$A:$A,"miércoles")</f>
        <v>0</v>
      </c>
      <c r="W64" s="248">
        <f>+SUMIFS($H:$H,$J:$J,"estudiante_externo",$K:$K,"u. luis amigó",$A:$A,"miércoles")</f>
        <v>0</v>
      </c>
      <c r="X64" s="247">
        <f>+COUNTIFS($J:$J,"estudiante_externo",$K:$K,"u. luis amigó",$A:$A,"jueves")</f>
        <v>0</v>
      </c>
      <c r="Y64" s="248">
        <f>+SUMIFS($H:$H,$J:$J,"estudiante_externo",$K:$K,"u. luis amigó",$A:$A,"jueves")</f>
        <v>0</v>
      </c>
      <c r="Z64" s="247">
        <f>+COUNTIFS($J:$J,"estudiante_externo",$K:$K,"u. luis amigó",$A:$A,"Viernes")</f>
        <v>0</v>
      </c>
      <c r="AA64" s="248">
        <f>+SUMIFS($H:$H,$J:$J,"estudiante_externo",$K:$K,"u. luis amigó",$A:$A,"Viernes")</f>
        <v>0</v>
      </c>
      <c r="AB64" s="247">
        <f>+COUNTIFS($J:$J,"estudiante_externo",$K:$K,"u. luis amigó",$A:$A,"sábado")</f>
        <v>0</v>
      </c>
      <c r="AC64" s="248">
        <f>+SUMIFS($H:$H,$J:$J,"estudiante_externo",$K:$K,"u. luis amigó",$A:$A,"sábado")</f>
        <v>0</v>
      </c>
      <c r="AD64" s="257">
        <f t="shared" si="43"/>
        <v>0</v>
      </c>
      <c r="AE64" s="252">
        <f t="shared" si="44"/>
        <v>0</v>
      </c>
      <c r="AF64" s="87"/>
      <c r="AG64" s="296" t="s">
        <v>157</v>
      </c>
      <c r="AH64" s="255">
        <f>+COUNTIFS($J:$J,"pase de cortesia",$A:$A,"lunes")</f>
        <v>0</v>
      </c>
      <c r="AI64" s="246">
        <f>+SUMIFS($H:$H,$J:$J,"pase de cortesia",$A:$A,"lunes")</f>
        <v>0</v>
      </c>
      <c r="AJ64" s="246">
        <f>+COUNTIFS($J:$J,"pase de cortesia",$A:$A,"Martes")</f>
        <v>0</v>
      </c>
      <c r="AK64" s="246">
        <f>+SUMIFS($H:$H,$J:$J,"pase de cortesia",$A:$A,"Martes")</f>
        <v>0</v>
      </c>
      <c r="AL64" s="246">
        <f>+COUNTIFS($J:$J,"pase de cortesia",$A:$A,"miércoles")</f>
        <v>0</v>
      </c>
      <c r="AM64" s="246">
        <f>+SUMIFS($H:$H,$J:$J,"pase de cortesia",$A:$A,"miércoles")</f>
        <v>0</v>
      </c>
      <c r="AN64" s="246">
        <f>+COUNTIFS($J:$J,"pase de cortesia",$A:$A,"Jueves")</f>
        <v>0</v>
      </c>
      <c r="AO64" s="246">
        <f>+SUMIFS($H:$H,$J:$J,"pase de cortesia",$A:$A,"Jueves")</f>
        <v>0</v>
      </c>
      <c r="AP64" s="246">
        <f>+COUNTIFS($J:$J,"pase de cortesia",$A:$A,"viernes")</f>
        <v>0</v>
      </c>
      <c r="AQ64" s="246">
        <f>+SUMIFS($H:$H,$J:$J,"pase de cortesia",$A:$A,"viernes")</f>
        <v>0</v>
      </c>
      <c r="AR64" s="246">
        <f>+COUNTIFS($J:$J,"pase de cortesia",$A:$A,"sábado")</f>
        <v>0</v>
      </c>
      <c r="AS64" s="258">
        <f>+SUMIFS($H:$H,$J:$J,"pase de cortesia",$A:$A,"sábado")</f>
        <v>0</v>
      </c>
      <c r="AT64" s="247">
        <f>+AH64+AJ64+AL64+AN64+AP64+AR64</f>
        <v>0</v>
      </c>
      <c r="AU64" s="248">
        <f t="shared" si="46"/>
        <v>0</v>
      </c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</row>
    <row r="65" spans="1:63" s="118" customFormat="1" ht="15.75" thickBot="1" x14ac:dyDescent="0.3">
      <c r="A65" s="245" t="str">
        <f t="shared" si="35"/>
        <v>sábado</v>
      </c>
      <c r="B65" s="244"/>
      <c r="C65" s="452"/>
      <c r="D65" s="493"/>
      <c r="E65" s="451"/>
      <c r="F65" s="451"/>
      <c r="G65" s="451"/>
      <c r="H65" s="451"/>
      <c r="I65" s="491"/>
      <c r="J65" s="450"/>
      <c r="K65" s="42"/>
      <c r="L65" s="413"/>
      <c r="M65" s="87"/>
      <c r="N65" s="87"/>
      <c r="O65" s="87"/>
      <c r="P65" s="87"/>
      <c r="Q65" s="270" t="s">
        <v>122</v>
      </c>
      <c r="R65" s="255">
        <f>+COUNTIFS($J:$J,"estudiante_externo",$K:$K,"colegio",$A:$A,"lunes")</f>
        <v>0</v>
      </c>
      <c r="S65" s="248">
        <f>+SUMIFS($H:$H,$J:$J,"estudiante_externo",$K:$K,"colegio",$A:$A,"lunes")</f>
        <v>0</v>
      </c>
      <c r="T65" s="247">
        <f>+COUNTIFS($J:$J,"estudiante_externo",$K:$K,"colegio",$A:$A,"martes")</f>
        <v>0</v>
      </c>
      <c r="U65" s="248">
        <f>+SUMIFS($H:$H,$J:$J,"estudiante_externo",$K:$K,"colegio",$A:$A,"martes")</f>
        <v>0</v>
      </c>
      <c r="V65" s="247">
        <f>+COUNTIFS($J:$J,"estudiante_externo",$K:$K,"colegio",$A:$A,"miércoles")</f>
        <v>0</v>
      </c>
      <c r="W65" s="248">
        <f>+SUMIFS($H:$H,$J:$J,"estudiante_externo",$K:$K,"colegio",$A:$A,"miércoles")</f>
        <v>0</v>
      </c>
      <c r="X65" s="247">
        <f>+COUNTIFS($J:$J,"estudiante_externo",$K:$K,"colegio",$A:$A,"jueves")</f>
        <v>0</v>
      </c>
      <c r="Y65" s="248">
        <f>+SUMIFS($H:$H,$J:$J,"estudiante_externo",$K:$K,"colegio",$A:$A,"jueves")</f>
        <v>0</v>
      </c>
      <c r="Z65" s="247">
        <f>+COUNTIFS($J:$J,"estudiante_externo",$K:$K,"colegio",$A:$A,"Viernes")</f>
        <v>0</v>
      </c>
      <c r="AA65" s="248">
        <f>+SUMIFS($H:$H,$J:$J,"estudiante_externo",$K:$K,"colegio",$A:$A,"Viernes")</f>
        <v>0</v>
      </c>
      <c r="AB65" s="247">
        <f>+COUNTIFS($J:$J,"estudiante_externo",$K:$K,"colegio",$A:$A,"sábado")</f>
        <v>0</v>
      </c>
      <c r="AC65" s="248">
        <f>+SUMIFS($H:$H,$J:$J,"estudiante_externo",$K:$K,"colegio",$A:$A,"sábado")</f>
        <v>0</v>
      </c>
      <c r="AD65" s="257">
        <f t="shared" si="43"/>
        <v>0</v>
      </c>
      <c r="AE65" s="252">
        <f t="shared" si="44"/>
        <v>0</v>
      </c>
      <c r="AF65" s="87"/>
      <c r="AG65" s="297" t="s">
        <v>158</v>
      </c>
      <c r="AH65" s="256">
        <f>+COUNTIFS($J:$J,"contrato",$A:$A,"lunes")</f>
        <v>0</v>
      </c>
      <c r="AI65" s="250">
        <f>+SUMIFS($H:$H,$J:$J,"contrato",$A:$A,"lunes")</f>
        <v>0</v>
      </c>
      <c r="AJ65" s="250">
        <f>+COUNTIFS($J:$J,"contrato",$A:$A,"Martes")</f>
        <v>0</v>
      </c>
      <c r="AK65" s="250">
        <f>+SUMIFS($H:$H,$J:$J,"contrato",$A:$A,"Martes")</f>
        <v>0</v>
      </c>
      <c r="AL65" s="250">
        <f>+COUNTIFS($J:$J,"contrato",$A:$A,"miércoles")</f>
        <v>0</v>
      </c>
      <c r="AM65" s="250">
        <f>+SUMIFS($H:$H,$J:$J,"contrato",$A:$A,"miércoles")</f>
        <v>0</v>
      </c>
      <c r="AN65" s="250">
        <f>+COUNTIFS($J:$J,"contrato",$A:$A,"Jueves")</f>
        <v>0</v>
      </c>
      <c r="AO65" s="250">
        <f>+SUMIFS($H:$H,$J:$J,"contrato",$A:$A,"Jueves")</f>
        <v>0</v>
      </c>
      <c r="AP65" s="250">
        <f>+COUNTIFS($J:$J,"contrato",$A:$A,"viernes")</f>
        <v>0</v>
      </c>
      <c r="AQ65" s="250">
        <f>+SUMIFS($H:$H,$J:$J,"contrato",$A:$A,"viernes")</f>
        <v>0</v>
      </c>
      <c r="AR65" s="250">
        <f>+COUNTIFS($J:$J,"contrato",$A:$A,"sábado")</f>
        <v>0</v>
      </c>
      <c r="AS65" s="259">
        <f>+SUMIFS($H:$H,$J:$J,"contrato",$A:$A,"sábado")</f>
        <v>0</v>
      </c>
      <c r="AT65" s="249">
        <f>+AH65+AJ65+AL65+AN65+AP65+AR65</f>
        <v>0</v>
      </c>
      <c r="AU65" s="251">
        <f t="shared" ref="AU65" si="47">+AI65+AK65+AM65+AO65+AQ65+AS65</f>
        <v>0</v>
      </c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</row>
    <row r="66" spans="1:63" s="118" customFormat="1" ht="15.75" thickBot="1" x14ac:dyDescent="0.3">
      <c r="A66" s="245" t="str">
        <f t="shared" si="35"/>
        <v>sábado</v>
      </c>
      <c r="B66" s="244"/>
      <c r="C66" s="452"/>
      <c r="D66" s="491"/>
      <c r="E66" s="451"/>
      <c r="F66" s="451"/>
      <c r="G66" s="451"/>
      <c r="H66" s="451"/>
      <c r="I66" s="491"/>
      <c r="J66" s="450"/>
      <c r="K66" s="120"/>
      <c r="L66" s="413"/>
      <c r="M66" s="87"/>
      <c r="N66" s="87"/>
      <c r="O66" s="87"/>
      <c r="P66" s="87"/>
      <c r="Q66" s="271" t="s">
        <v>123</v>
      </c>
      <c r="R66" s="256">
        <f>+COUNTIFS($J:$J,"estudiante_externo",$K:$K,"otro",$A:$A,"lunes")</f>
        <v>0</v>
      </c>
      <c r="S66" s="251">
        <f>+SUMIFS($H:$H,$J:$J,"estudiante_externo",$K:$K,"otro",$A:$A,"lunes")</f>
        <v>0</v>
      </c>
      <c r="T66" s="249">
        <f>+COUNTIFS($J:$J,"estudiante_externo",$K:$K,"otro",$A:$A,"martes")</f>
        <v>0</v>
      </c>
      <c r="U66" s="251">
        <f>+SUMIFS($H:$H,$J:$J,"estudiante_externo",$K:$K,"otro",$A:$A,"martes")</f>
        <v>0</v>
      </c>
      <c r="V66" s="249">
        <f>+COUNTIFS($J:$J,"estudiante_externo",$K:$K,"otro",$A:$A,"miércoles")</f>
        <v>0</v>
      </c>
      <c r="W66" s="251">
        <f>+SUMIFS($H:$H,$J:$J,"estudiante_externo",$K:$K,"otro",$A:$A,"miércoles")</f>
        <v>0</v>
      </c>
      <c r="X66" s="249">
        <f>+COUNTIFS($J:$J,"estudiante_externo",$K:$K,"otro",$A:$A,"jueves")</f>
        <v>0</v>
      </c>
      <c r="Y66" s="251">
        <f>+SUMIFS($H:$H,$J:$J,"estudiante_externo",$K:$K,"otro",$A:$A,"jueves")</f>
        <v>0</v>
      </c>
      <c r="Z66" s="249">
        <f>+COUNTIFS($J:$J,"estudiante_externo",$K:$K,"otro",$A:$A,"Viernes")</f>
        <v>0</v>
      </c>
      <c r="AA66" s="251">
        <f>+SUMIFS($H:$H,$J:$J,"estudiante_externo",$K:$K,"otro",$A:$A,"Viernes")</f>
        <v>0</v>
      </c>
      <c r="AB66" s="249">
        <f>+COUNTIFS($J:$J,"estudiante_externo",$K:$K,"otro",$A:$A,"sábado")</f>
        <v>0</v>
      </c>
      <c r="AC66" s="251">
        <f>+SUMIFS($H:$H,$J:$J,"estudiante_externo",$K:$K,"otro",$A:$A,"sábado")</f>
        <v>0</v>
      </c>
      <c r="AD66" s="257">
        <f>+R66+T66+V66+X66+Z66+AB66</f>
        <v>0</v>
      </c>
      <c r="AE66" s="252">
        <f t="shared" si="44"/>
        <v>0</v>
      </c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294">
        <f>SUM(AT59:AT65)</f>
        <v>0</v>
      </c>
      <c r="AU66" s="295">
        <f>SUM(AU59:AU65)</f>
        <v>0</v>
      </c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</row>
    <row r="67" spans="1:63" ht="15.75" thickBot="1" x14ac:dyDescent="0.3">
      <c r="A67" s="245" t="str">
        <f t="shared" si="35"/>
        <v>sábado</v>
      </c>
      <c r="B67" s="244"/>
      <c r="C67" s="452"/>
      <c r="D67" s="491"/>
      <c r="E67" s="451"/>
      <c r="F67" s="451"/>
      <c r="G67" s="451"/>
      <c r="H67" s="451"/>
      <c r="I67" s="491"/>
      <c r="J67" s="450"/>
      <c r="K67" s="89"/>
      <c r="L67" s="413"/>
      <c r="M67" s="87"/>
      <c r="N67" s="87"/>
      <c r="O67" s="87"/>
      <c r="P67" s="87"/>
      <c r="Q67" s="286" t="s">
        <v>9</v>
      </c>
      <c r="R67" s="287">
        <f>SUM(R59:R66)</f>
        <v>0</v>
      </c>
      <c r="S67" s="287">
        <f t="shared" ref="S67:AE67" si="48">SUM(S59:S66)</f>
        <v>0</v>
      </c>
      <c r="T67" s="287">
        <f t="shared" si="48"/>
        <v>0</v>
      </c>
      <c r="U67" s="287">
        <f t="shared" si="48"/>
        <v>0</v>
      </c>
      <c r="V67" s="287">
        <f t="shared" si="48"/>
        <v>0</v>
      </c>
      <c r="W67" s="287">
        <f t="shared" si="48"/>
        <v>0</v>
      </c>
      <c r="X67" s="287">
        <f t="shared" si="48"/>
        <v>0</v>
      </c>
      <c r="Y67" s="287">
        <f t="shared" si="48"/>
        <v>0</v>
      </c>
      <c r="Z67" s="287">
        <f t="shared" si="48"/>
        <v>0</v>
      </c>
      <c r="AA67" s="287">
        <f t="shared" si="48"/>
        <v>0</v>
      </c>
      <c r="AB67" s="287">
        <f t="shared" si="48"/>
        <v>0</v>
      </c>
      <c r="AC67" s="288">
        <f t="shared" si="48"/>
        <v>0</v>
      </c>
      <c r="AD67" s="289">
        <f t="shared" si="48"/>
        <v>0</v>
      </c>
      <c r="AE67" s="290">
        <f t="shared" si="48"/>
        <v>0</v>
      </c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BB67" s="87"/>
      <c r="BE67" s="87"/>
      <c r="BH67" s="87"/>
      <c r="BK67" s="87"/>
    </row>
    <row r="68" spans="1:63" ht="15.75" thickBot="1" x14ac:dyDescent="0.3">
      <c r="A68" s="245" t="str">
        <f t="shared" si="35"/>
        <v>sábado</v>
      </c>
      <c r="B68" s="244"/>
      <c r="C68" s="452"/>
      <c r="D68" s="491"/>
      <c r="E68" s="451"/>
      <c r="F68" s="451"/>
      <c r="G68" s="451"/>
      <c r="H68" s="451"/>
      <c r="I68" s="491"/>
      <c r="J68" s="450"/>
      <c r="K68" s="42"/>
      <c r="L68" s="413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BB68" s="87"/>
      <c r="BE68" s="87"/>
      <c r="BH68" s="87"/>
      <c r="BK68" s="87"/>
    </row>
    <row r="69" spans="1:63" ht="15.75" thickBot="1" x14ac:dyDescent="0.3">
      <c r="A69" s="245" t="str">
        <f t="shared" si="35"/>
        <v>sábado</v>
      </c>
      <c r="B69" s="244"/>
      <c r="C69" s="492"/>
      <c r="D69" s="451"/>
      <c r="E69" s="451"/>
      <c r="F69" s="451"/>
      <c r="G69" s="451"/>
      <c r="H69" s="451"/>
      <c r="I69" s="491"/>
      <c r="J69" s="450"/>
      <c r="K69" s="89"/>
      <c r="L69" s="413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BB69" s="87"/>
      <c r="BE69" s="87"/>
      <c r="BH69" s="87"/>
      <c r="BK69" s="87"/>
    </row>
    <row r="70" spans="1:63" ht="15.75" thickBot="1" x14ac:dyDescent="0.3">
      <c r="A70" s="245" t="str">
        <f t="shared" si="35"/>
        <v>sábado</v>
      </c>
      <c r="B70" s="244"/>
      <c r="C70" s="450"/>
      <c r="D70" s="451"/>
      <c r="E70" s="451"/>
      <c r="F70" s="451"/>
      <c r="G70" s="451"/>
      <c r="H70" s="451"/>
      <c r="I70" s="494"/>
      <c r="J70" s="450"/>
      <c r="K70" s="63"/>
      <c r="L70" s="413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BB70" s="87"/>
      <c r="BE70" s="87"/>
      <c r="BH70" s="87"/>
      <c r="BK70" s="87"/>
    </row>
    <row r="71" spans="1:63" ht="15.75" thickBot="1" x14ac:dyDescent="0.3">
      <c r="A71" s="245" t="str">
        <f t="shared" si="35"/>
        <v>sábado</v>
      </c>
      <c r="B71" s="244"/>
      <c r="C71" s="450"/>
      <c r="D71" s="494"/>
      <c r="E71" s="451"/>
      <c r="F71" s="451"/>
      <c r="G71" s="451"/>
      <c r="H71" s="451"/>
      <c r="I71" s="494"/>
      <c r="J71" s="450"/>
      <c r="K71" s="63"/>
      <c r="L71" s="413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BB71" s="87"/>
      <c r="BE71" s="87"/>
      <c r="BH71" s="87"/>
      <c r="BK71" s="87"/>
    </row>
    <row r="72" spans="1:63" s="121" customFormat="1" ht="15.75" thickBot="1" x14ac:dyDescent="0.3">
      <c r="A72" s="245" t="str">
        <f t="shared" si="35"/>
        <v>sábado</v>
      </c>
      <c r="B72" s="244"/>
      <c r="C72" s="450"/>
      <c r="D72" s="494"/>
      <c r="E72" s="451"/>
      <c r="F72" s="451"/>
      <c r="G72" s="451"/>
      <c r="H72" s="451"/>
      <c r="I72" s="494"/>
      <c r="J72" s="450"/>
      <c r="K72" s="89"/>
      <c r="L72" s="413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</row>
    <row r="73" spans="1:63" s="118" customFormat="1" ht="15.75" thickBot="1" x14ac:dyDescent="0.3">
      <c r="A73" s="245" t="str">
        <f t="shared" si="35"/>
        <v>sábado</v>
      </c>
      <c r="B73" s="244"/>
      <c r="C73" s="450"/>
      <c r="D73" s="494"/>
      <c r="E73" s="451"/>
      <c r="F73" s="451"/>
      <c r="G73" s="451"/>
      <c r="H73" s="451"/>
      <c r="I73" s="494"/>
      <c r="J73" s="450"/>
      <c r="K73" s="89"/>
      <c r="L73" s="413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</row>
    <row r="74" spans="1:63" s="118" customFormat="1" ht="15.75" thickBot="1" x14ac:dyDescent="0.3">
      <c r="A74" s="245" t="str">
        <f t="shared" ref="A74:A105" si="49">+TEXT(B74,"dddd")</f>
        <v>sábado</v>
      </c>
      <c r="B74" s="244"/>
      <c r="C74" s="453"/>
      <c r="D74" s="494"/>
      <c r="E74" s="451"/>
      <c r="F74" s="451"/>
      <c r="G74" s="451"/>
      <c r="H74" s="451"/>
      <c r="I74" s="494"/>
      <c r="J74" s="450"/>
      <c r="K74" s="63"/>
      <c r="L74" s="413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</row>
    <row r="75" spans="1:63" s="118" customFormat="1" ht="15.75" thickBot="1" x14ac:dyDescent="0.3">
      <c r="A75" s="245" t="str">
        <f t="shared" si="49"/>
        <v>sábado</v>
      </c>
      <c r="B75" s="244"/>
      <c r="C75" s="496"/>
      <c r="D75" s="451"/>
      <c r="E75" s="451"/>
      <c r="F75" s="451"/>
      <c r="G75" s="451"/>
      <c r="H75" s="451"/>
      <c r="I75" s="495"/>
      <c r="J75" s="450"/>
      <c r="K75" s="89"/>
      <c r="L75" s="413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</row>
    <row r="76" spans="1:63" s="118" customFormat="1" ht="15.75" thickBot="1" x14ac:dyDescent="0.3">
      <c r="A76" s="245" t="str">
        <f t="shared" si="49"/>
        <v>sábado</v>
      </c>
      <c r="B76" s="244"/>
      <c r="C76" s="497"/>
      <c r="D76" s="451"/>
      <c r="E76" s="451"/>
      <c r="F76" s="451"/>
      <c r="G76" s="451"/>
      <c r="H76" s="451"/>
      <c r="I76" s="495"/>
      <c r="J76" s="450"/>
      <c r="K76" s="89"/>
      <c r="L76" s="413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</row>
    <row r="77" spans="1:63" ht="15.75" thickBot="1" x14ac:dyDescent="0.3">
      <c r="A77" s="245" t="str">
        <f t="shared" si="49"/>
        <v>sábado</v>
      </c>
      <c r="B77" s="244"/>
      <c r="C77" s="450"/>
      <c r="D77" s="451"/>
      <c r="E77" s="451"/>
      <c r="F77" s="451"/>
      <c r="G77" s="451"/>
      <c r="H77" s="451"/>
      <c r="I77" s="495"/>
      <c r="J77" s="450"/>
      <c r="K77" s="89"/>
      <c r="L77" s="413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BB77" s="87"/>
      <c r="BE77" s="87"/>
      <c r="BH77" s="87"/>
      <c r="BK77" s="87"/>
    </row>
    <row r="78" spans="1:63" ht="15.75" thickBot="1" x14ac:dyDescent="0.3">
      <c r="A78" s="245" t="str">
        <f t="shared" si="49"/>
        <v>sábado</v>
      </c>
      <c r="B78" s="244"/>
      <c r="C78" s="450"/>
      <c r="D78" s="451"/>
      <c r="E78" s="451"/>
      <c r="F78" s="451"/>
      <c r="G78" s="451"/>
      <c r="H78" s="451"/>
      <c r="I78" s="495"/>
      <c r="J78" s="453"/>
      <c r="K78" s="63"/>
      <c r="L78" s="415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BB78" s="87"/>
      <c r="BE78" s="87"/>
      <c r="BH78" s="87"/>
      <c r="BK78" s="87"/>
    </row>
    <row r="79" spans="1:63" ht="15.75" thickBot="1" x14ac:dyDescent="0.3">
      <c r="A79" s="245" t="str">
        <f t="shared" si="49"/>
        <v>sábado</v>
      </c>
      <c r="B79" s="244"/>
      <c r="C79" s="452"/>
      <c r="D79" s="471"/>
      <c r="E79" s="451"/>
      <c r="F79" s="451"/>
      <c r="G79" s="451"/>
      <c r="H79" s="451"/>
      <c r="I79" s="495"/>
      <c r="J79" s="450"/>
      <c r="K79" s="89"/>
      <c r="L79" s="413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BB79" s="87"/>
      <c r="BE79" s="87"/>
      <c r="BH79" s="87"/>
      <c r="BK79" s="87"/>
    </row>
    <row r="80" spans="1:63" ht="15.75" thickBot="1" x14ac:dyDescent="0.3">
      <c r="A80" s="245" t="str">
        <f t="shared" si="49"/>
        <v>sábado</v>
      </c>
      <c r="B80" s="244"/>
      <c r="C80" s="450"/>
      <c r="D80" s="451"/>
      <c r="E80" s="451"/>
      <c r="F80" s="451"/>
      <c r="G80" s="451"/>
      <c r="H80" s="451"/>
      <c r="I80" s="495"/>
      <c r="J80" s="450"/>
      <c r="K80" s="86"/>
      <c r="L80" s="413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BB80" s="87"/>
      <c r="BE80" s="87"/>
      <c r="BH80" s="87"/>
      <c r="BK80" s="87"/>
    </row>
    <row r="81" spans="1:63" ht="15.75" thickBot="1" x14ac:dyDescent="0.3">
      <c r="A81" s="245" t="str">
        <f t="shared" si="49"/>
        <v>sábado</v>
      </c>
      <c r="B81" s="244"/>
      <c r="C81" s="439"/>
      <c r="D81" s="451"/>
      <c r="E81" s="451"/>
      <c r="F81" s="451"/>
      <c r="G81" s="451"/>
      <c r="H81" s="451"/>
      <c r="I81" s="495"/>
      <c r="J81" s="450"/>
      <c r="K81" s="89"/>
      <c r="L81" s="413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BB81" s="87"/>
      <c r="BE81" s="87"/>
      <c r="BH81" s="87"/>
      <c r="BK81" s="87"/>
    </row>
    <row r="82" spans="1:63" s="118" customFormat="1" ht="15.75" thickBot="1" x14ac:dyDescent="0.3">
      <c r="A82" s="245" t="str">
        <f t="shared" si="49"/>
        <v>sábado</v>
      </c>
      <c r="B82" s="244"/>
      <c r="C82" s="439"/>
      <c r="D82" s="451"/>
      <c r="E82" s="451"/>
      <c r="F82" s="451"/>
      <c r="G82" s="451"/>
      <c r="H82" s="451"/>
      <c r="I82" s="499"/>
      <c r="J82" s="450"/>
      <c r="K82" s="89"/>
      <c r="L82" s="501"/>
      <c r="M82" s="8"/>
      <c r="N82" s="8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</row>
    <row r="83" spans="1:63" s="118" customFormat="1" ht="15.75" thickBot="1" x14ac:dyDescent="0.3">
      <c r="A83" s="245" t="str">
        <f t="shared" si="49"/>
        <v>sábado</v>
      </c>
      <c r="B83" s="244"/>
      <c r="C83" s="500"/>
      <c r="D83" s="451"/>
      <c r="E83" s="451"/>
      <c r="F83" s="451"/>
      <c r="G83" s="451"/>
      <c r="H83" s="451"/>
      <c r="I83" s="499"/>
      <c r="J83" s="450"/>
      <c r="K83" s="89"/>
      <c r="L83" s="413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</row>
    <row r="84" spans="1:63" s="118" customFormat="1" ht="15.75" thickBot="1" x14ac:dyDescent="0.3">
      <c r="A84" s="245" t="str">
        <f t="shared" si="49"/>
        <v>sábado</v>
      </c>
      <c r="B84" s="244"/>
      <c r="C84" s="450"/>
      <c r="D84" s="451"/>
      <c r="E84" s="451"/>
      <c r="F84" s="451"/>
      <c r="G84" s="451"/>
      <c r="H84" s="451"/>
      <c r="I84" s="499"/>
      <c r="J84" s="450"/>
      <c r="K84" s="89"/>
      <c r="L84" s="413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</row>
    <row r="85" spans="1:63" ht="15.75" thickBot="1" x14ac:dyDescent="0.3">
      <c r="A85" s="245" t="str">
        <f t="shared" si="49"/>
        <v>sábado</v>
      </c>
      <c r="B85" s="244"/>
      <c r="C85" s="450"/>
      <c r="D85" s="451"/>
      <c r="E85" s="451"/>
      <c r="F85" s="451"/>
      <c r="G85" s="451"/>
      <c r="H85" s="451"/>
      <c r="I85" s="499"/>
      <c r="J85" s="450"/>
      <c r="K85" s="63"/>
      <c r="L85" s="413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BB85" s="87"/>
      <c r="BE85" s="87"/>
      <c r="BH85" s="87"/>
      <c r="BK85" s="87"/>
    </row>
    <row r="86" spans="1:63" ht="15.75" thickBot="1" x14ac:dyDescent="0.3">
      <c r="A86" s="245" t="str">
        <f t="shared" si="49"/>
        <v>sábado</v>
      </c>
      <c r="B86" s="244"/>
      <c r="C86" s="450"/>
      <c r="D86" s="456"/>
      <c r="E86" s="451"/>
      <c r="F86" s="451"/>
      <c r="G86" s="451"/>
      <c r="H86" s="451"/>
      <c r="I86" s="473"/>
      <c r="J86" s="450"/>
      <c r="K86" s="89"/>
      <c r="L86" s="413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BB86" s="87"/>
      <c r="BE86" s="87"/>
      <c r="BH86" s="87"/>
      <c r="BK86" s="87"/>
    </row>
    <row r="87" spans="1:63" ht="15.75" thickBot="1" x14ac:dyDescent="0.3">
      <c r="A87" s="245" t="str">
        <f t="shared" si="49"/>
        <v>sábado</v>
      </c>
      <c r="B87" s="244"/>
      <c r="C87" s="452"/>
      <c r="D87" s="473"/>
      <c r="E87" s="451"/>
      <c r="F87" s="451"/>
      <c r="G87" s="451"/>
      <c r="H87" s="451"/>
      <c r="I87" s="473"/>
      <c r="J87" s="450"/>
      <c r="K87" s="42"/>
      <c r="L87" s="502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BB87" s="87"/>
      <c r="BE87" s="87"/>
      <c r="BH87" s="87"/>
      <c r="BK87" s="87"/>
    </row>
    <row r="88" spans="1:63" ht="15.75" thickBot="1" x14ac:dyDescent="0.3">
      <c r="A88" s="245" t="str">
        <f t="shared" si="49"/>
        <v>sábado</v>
      </c>
      <c r="B88" s="244"/>
      <c r="C88" s="450"/>
      <c r="D88" s="451"/>
      <c r="E88" s="451"/>
      <c r="F88" s="451"/>
      <c r="G88" s="451"/>
      <c r="H88" s="451"/>
      <c r="I88" s="499"/>
      <c r="J88" s="450"/>
      <c r="K88" s="42"/>
      <c r="L88" s="413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BB88" s="87"/>
      <c r="BE88" s="87"/>
      <c r="BH88" s="87"/>
      <c r="BK88" s="87"/>
    </row>
    <row r="89" spans="1:63" ht="15.75" thickBot="1" x14ac:dyDescent="0.3">
      <c r="A89" s="245" t="str">
        <f t="shared" si="49"/>
        <v>sábado</v>
      </c>
      <c r="B89" s="244"/>
      <c r="C89" s="450"/>
      <c r="D89" s="456"/>
      <c r="E89" s="451"/>
      <c r="F89" s="451"/>
      <c r="G89" s="451"/>
      <c r="H89" s="451"/>
      <c r="I89" s="499"/>
      <c r="J89" s="450"/>
      <c r="K89" s="42"/>
      <c r="L89" s="413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BB89" s="87"/>
      <c r="BE89" s="87"/>
      <c r="BH89" s="87"/>
      <c r="BK89" s="87"/>
    </row>
    <row r="90" spans="1:63" ht="15.75" thickBot="1" x14ac:dyDescent="0.3">
      <c r="A90" s="245" t="str">
        <f t="shared" si="49"/>
        <v>sábado</v>
      </c>
      <c r="B90" s="244"/>
      <c r="C90" s="450"/>
      <c r="D90" s="451"/>
      <c r="E90" s="451"/>
      <c r="F90" s="451"/>
      <c r="G90" s="451"/>
      <c r="H90" s="451"/>
      <c r="I90" s="499"/>
      <c r="J90" s="450"/>
      <c r="K90" s="87"/>
      <c r="L90" s="413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BB90" s="87"/>
      <c r="BE90" s="87"/>
      <c r="BH90" s="87"/>
      <c r="BK90" s="87"/>
    </row>
    <row r="91" spans="1:63" ht="15.75" thickBot="1" x14ac:dyDescent="0.3">
      <c r="A91" s="245" t="str">
        <f t="shared" si="49"/>
        <v>sábado</v>
      </c>
      <c r="B91" s="244"/>
      <c r="C91" s="504"/>
      <c r="D91" s="451"/>
      <c r="E91" s="451"/>
      <c r="F91" s="451"/>
      <c r="G91" s="451"/>
      <c r="H91" s="451"/>
      <c r="I91" s="503"/>
      <c r="J91" s="450"/>
      <c r="K91" s="42"/>
      <c r="L91" s="413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BB91" s="87"/>
      <c r="BE91" s="87"/>
      <c r="BH91" s="87"/>
      <c r="BK91" s="87"/>
    </row>
    <row r="92" spans="1:63" s="118" customFormat="1" ht="15.75" thickBot="1" x14ac:dyDescent="0.3">
      <c r="A92" s="245" t="str">
        <f t="shared" si="49"/>
        <v>sábado</v>
      </c>
      <c r="B92" s="244"/>
      <c r="C92" s="504"/>
      <c r="D92" s="451"/>
      <c r="E92" s="451"/>
      <c r="F92" s="451"/>
      <c r="G92" s="451"/>
      <c r="H92" s="451"/>
      <c r="I92" s="503"/>
      <c r="J92" s="450"/>
      <c r="K92" s="42"/>
      <c r="L92" s="413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</row>
    <row r="93" spans="1:63" ht="15.75" thickBot="1" x14ac:dyDescent="0.3">
      <c r="A93" s="245" t="str">
        <f t="shared" si="49"/>
        <v>sábado</v>
      </c>
      <c r="B93" s="244"/>
      <c r="C93" s="450"/>
      <c r="D93" s="451"/>
      <c r="E93" s="451"/>
      <c r="F93" s="451"/>
      <c r="G93" s="451"/>
      <c r="H93" s="451"/>
      <c r="I93" s="503"/>
      <c r="J93" s="450"/>
      <c r="K93" s="89"/>
      <c r="L93" s="415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BB93" s="87"/>
      <c r="BE93" s="87"/>
      <c r="BH93" s="87"/>
      <c r="BK93" s="87"/>
    </row>
    <row r="94" spans="1:63" ht="15.75" thickBot="1" x14ac:dyDescent="0.3">
      <c r="A94" s="245" t="str">
        <f t="shared" si="49"/>
        <v>sábado</v>
      </c>
      <c r="B94" s="244"/>
      <c r="C94" s="506"/>
      <c r="D94" s="451"/>
      <c r="E94" s="451"/>
      <c r="F94" s="451"/>
      <c r="G94" s="451"/>
      <c r="H94" s="451"/>
      <c r="I94" s="503"/>
      <c r="J94" s="450"/>
      <c r="K94" s="63"/>
      <c r="L94" s="413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BB94" s="87"/>
      <c r="BE94" s="87"/>
      <c r="BH94" s="87"/>
      <c r="BK94" s="87"/>
    </row>
    <row r="95" spans="1:63" ht="15.75" thickBot="1" x14ac:dyDescent="0.3">
      <c r="A95" s="245" t="str">
        <f t="shared" si="49"/>
        <v>sábado</v>
      </c>
      <c r="B95" s="244"/>
      <c r="C95" s="439"/>
      <c r="D95" s="451"/>
      <c r="E95" s="451"/>
      <c r="F95" s="451"/>
      <c r="G95" s="451"/>
      <c r="H95" s="451"/>
      <c r="I95" s="503"/>
      <c r="J95" s="450"/>
      <c r="K95" s="63"/>
      <c r="L95" s="413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BB95" s="87"/>
      <c r="BE95" s="87"/>
      <c r="BH95" s="87"/>
      <c r="BK95" s="87"/>
    </row>
    <row r="96" spans="1:63" ht="15.75" thickBot="1" x14ac:dyDescent="0.3">
      <c r="A96" s="245" t="str">
        <f t="shared" si="49"/>
        <v>sábado</v>
      </c>
      <c r="B96" s="244"/>
      <c r="C96" s="504"/>
      <c r="D96" s="451"/>
      <c r="E96" s="451"/>
      <c r="F96" s="451"/>
      <c r="G96" s="451"/>
      <c r="H96" s="451"/>
      <c r="I96" s="503"/>
      <c r="J96" s="450"/>
      <c r="K96" s="63"/>
      <c r="L96" s="413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BB96" s="87"/>
      <c r="BE96" s="87"/>
      <c r="BH96" s="87"/>
      <c r="BK96" s="87"/>
    </row>
    <row r="97" spans="1:63" ht="15.75" thickBot="1" x14ac:dyDescent="0.3">
      <c r="A97" s="245" t="str">
        <f t="shared" si="49"/>
        <v>sábado</v>
      </c>
      <c r="B97" s="244"/>
      <c r="C97" s="439"/>
      <c r="D97" s="451"/>
      <c r="E97" s="451"/>
      <c r="F97" s="451"/>
      <c r="G97" s="451"/>
      <c r="H97" s="451"/>
      <c r="I97" s="503"/>
      <c r="J97" s="450"/>
      <c r="K97" s="89"/>
      <c r="L97" s="413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BB97" s="87"/>
      <c r="BE97" s="87"/>
      <c r="BH97" s="87"/>
      <c r="BK97" s="87"/>
    </row>
    <row r="98" spans="1:63" ht="15.75" thickBot="1" x14ac:dyDescent="0.3">
      <c r="A98" s="245" t="str">
        <f t="shared" si="49"/>
        <v>sábado</v>
      </c>
      <c r="B98" s="244"/>
      <c r="C98" s="504"/>
      <c r="D98" s="451"/>
      <c r="E98" s="451"/>
      <c r="F98" s="451"/>
      <c r="G98" s="451"/>
      <c r="H98" s="451"/>
      <c r="I98" s="503"/>
      <c r="J98" s="450"/>
      <c r="K98" s="87"/>
      <c r="L98" s="413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BB98" s="87"/>
      <c r="BE98" s="87"/>
      <c r="BH98" s="87"/>
      <c r="BK98" s="87"/>
    </row>
    <row r="99" spans="1:63" s="118" customFormat="1" ht="15.75" thickBot="1" x14ac:dyDescent="0.3">
      <c r="A99" s="245" t="str">
        <f t="shared" si="49"/>
        <v>sábado</v>
      </c>
      <c r="B99" s="244"/>
      <c r="C99" s="452"/>
      <c r="D99" s="451"/>
      <c r="E99" s="451"/>
      <c r="F99" s="451"/>
      <c r="G99" s="451"/>
      <c r="H99" s="451"/>
      <c r="I99" s="507"/>
      <c r="J99" s="450"/>
      <c r="K99" s="89"/>
      <c r="L99" s="415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</row>
    <row r="100" spans="1:63" s="118" customFormat="1" ht="15.75" thickBot="1" x14ac:dyDescent="0.3">
      <c r="A100" s="245" t="str">
        <f t="shared" si="49"/>
        <v>sábado</v>
      </c>
      <c r="B100" s="244"/>
      <c r="C100" s="450"/>
      <c r="D100" s="451"/>
      <c r="E100" s="451"/>
      <c r="F100" s="451"/>
      <c r="G100" s="451"/>
      <c r="H100" s="451"/>
      <c r="I100" s="507"/>
      <c r="J100" s="450"/>
      <c r="K100" s="89"/>
      <c r="L100" s="413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</row>
    <row r="101" spans="1:63" s="118" customFormat="1" ht="15.75" thickBot="1" x14ac:dyDescent="0.3">
      <c r="A101" s="245" t="str">
        <f t="shared" si="49"/>
        <v>sábado</v>
      </c>
      <c r="B101" s="244"/>
      <c r="C101" s="452"/>
      <c r="D101" s="451"/>
      <c r="E101" s="451"/>
      <c r="F101" s="451"/>
      <c r="G101" s="451"/>
      <c r="H101" s="451"/>
      <c r="I101" s="507"/>
      <c r="J101" s="450"/>
      <c r="K101" s="89"/>
      <c r="L101" s="413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</row>
    <row r="102" spans="1:63" s="118" customFormat="1" ht="15.75" thickBot="1" x14ac:dyDescent="0.3">
      <c r="A102" s="245" t="str">
        <f t="shared" si="49"/>
        <v>sábado</v>
      </c>
      <c r="B102" s="244"/>
      <c r="C102" s="450"/>
      <c r="D102" s="451"/>
      <c r="E102" s="451"/>
      <c r="F102" s="451"/>
      <c r="G102" s="451"/>
      <c r="H102" s="451"/>
      <c r="I102" s="507"/>
      <c r="J102" s="450"/>
      <c r="K102" s="89"/>
      <c r="L102" s="413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</row>
    <row r="103" spans="1:63" s="118" customFormat="1" ht="15.75" thickBot="1" x14ac:dyDescent="0.3">
      <c r="A103" s="245" t="str">
        <f t="shared" si="49"/>
        <v>sábado</v>
      </c>
      <c r="B103" s="244"/>
      <c r="C103" s="450"/>
      <c r="D103" s="451"/>
      <c r="E103" s="451"/>
      <c r="F103" s="451"/>
      <c r="G103" s="451"/>
      <c r="H103" s="451"/>
      <c r="I103" s="507"/>
      <c r="J103" s="450"/>
      <c r="K103" s="89"/>
      <c r="L103" s="413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</row>
    <row r="104" spans="1:63" ht="15.75" thickBot="1" x14ac:dyDescent="0.3">
      <c r="A104" s="245" t="str">
        <f t="shared" si="49"/>
        <v>sábado</v>
      </c>
      <c r="B104" s="244"/>
      <c r="C104" s="450"/>
      <c r="D104" s="451"/>
      <c r="E104" s="451"/>
      <c r="F104" s="451"/>
      <c r="G104" s="451"/>
      <c r="H104" s="451"/>
      <c r="I104" s="451"/>
      <c r="J104" s="450"/>
      <c r="K104" s="89"/>
      <c r="L104" s="413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BB104" s="87"/>
      <c r="BE104" s="87"/>
      <c r="BH104" s="87"/>
      <c r="BK104" s="87"/>
    </row>
    <row r="105" spans="1:63" ht="15.75" thickBot="1" x14ac:dyDescent="0.3">
      <c r="A105" s="245" t="str">
        <f t="shared" si="49"/>
        <v>sábado</v>
      </c>
      <c r="B105" s="244"/>
      <c r="C105" s="439"/>
      <c r="D105" s="451"/>
      <c r="E105" s="451"/>
      <c r="F105" s="451"/>
      <c r="G105" s="451"/>
      <c r="H105" s="451"/>
      <c r="I105" s="451"/>
      <c r="J105" s="450"/>
      <c r="K105" s="63"/>
      <c r="L105" s="413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BB105" s="87"/>
      <c r="BE105" s="87"/>
      <c r="BH105" s="87"/>
      <c r="BK105" s="87"/>
    </row>
    <row r="106" spans="1:63" s="118" customFormat="1" ht="15.75" thickBot="1" x14ac:dyDescent="0.3">
      <c r="A106" s="245" t="str">
        <f t="shared" ref="A106:A134" si="50">+TEXT(B106,"dddd")</f>
        <v>sábado</v>
      </c>
      <c r="B106" s="244"/>
      <c r="C106" s="510"/>
      <c r="D106" s="451"/>
      <c r="E106" s="451"/>
      <c r="F106" s="451"/>
      <c r="G106" s="451"/>
      <c r="H106" s="451"/>
      <c r="I106" s="523"/>
      <c r="J106" s="450"/>
      <c r="K106" s="89"/>
      <c r="L106" s="413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</row>
    <row r="107" spans="1:63" s="118" customFormat="1" ht="15.75" thickBot="1" x14ac:dyDescent="0.3">
      <c r="A107" s="245" t="str">
        <f t="shared" si="50"/>
        <v>sábado</v>
      </c>
      <c r="B107" s="244"/>
      <c r="C107" s="450"/>
      <c r="D107" s="451"/>
      <c r="E107" s="451"/>
      <c r="F107" s="451"/>
      <c r="G107" s="451"/>
      <c r="H107" s="451"/>
      <c r="I107" s="451"/>
      <c r="J107" s="450"/>
      <c r="K107" s="89"/>
      <c r="L107" s="413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</row>
    <row r="108" spans="1:63" s="118" customFormat="1" ht="15.75" thickBot="1" x14ac:dyDescent="0.3">
      <c r="A108" s="245" t="str">
        <f t="shared" si="50"/>
        <v>sábado</v>
      </c>
      <c r="B108" s="244"/>
      <c r="C108" s="450"/>
      <c r="D108" s="451"/>
      <c r="E108" s="451"/>
      <c r="F108" s="451"/>
      <c r="G108" s="451"/>
      <c r="H108" s="451"/>
      <c r="I108" s="509"/>
      <c r="J108" s="450"/>
      <c r="K108" s="89"/>
      <c r="L108" s="413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</row>
    <row r="109" spans="1:63" ht="15.75" thickBot="1" x14ac:dyDescent="0.3">
      <c r="A109" s="245" t="str">
        <f t="shared" si="50"/>
        <v>sábado</v>
      </c>
      <c r="B109" s="244"/>
      <c r="C109" s="450"/>
      <c r="D109" s="451"/>
      <c r="E109" s="451"/>
      <c r="F109" s="451"/>
      <c r="G109" s="451"/>
      <c r="H109" s="451"/>
      <c r="I109" s="509"/>
      <c r="J109" s="450"/>
      <c r="K109" s="42"/>
      <c r="L109" s="413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BB109" s="87"/>
      <c r="BE109" s="87"/>
      <c r="BH109" s="87"/>
      <c r="BK109" s="87"/>
    </row>
    <row r="110" spans="1:63" ht="15.75" thickBot="1" x14ac:dyDescent="0.3">
      <c r="A110" s="245" t="str">
        <f t="shared" si="50"/>
        <v>sábado</v>
      </c>
      <c r="B110" s="244"/>
      <c r="C110" s="450"/>
      <c r="D110" s="451"/>
      <c r="E110" s="451"/>
      <c r="F110" s="451"/>
      <c r="G110" s="451"/>
      <c r="H110" s="451"/>
      <c r="I110" s="509"/>
      <c r="J110" s="450"/>
      <c r="K110" s="89"/>
      <c r="L110" s="413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BB110" s="87"/>
      <c r="BE110" s="87"/>
      <c r="BH110" s="87"/>
      <c r="BK110" s="87"/>
    </row>
    <row r="111" spans="1:63" ht="15.75" thickBot="1" x14ac:dyDescent="0.3">
      <c r="A111" s="245" t="str">
        <f t="shared" si="50"/>
        <v>sábado</v>
      </c>
      <c r="B111" s="244"/>
      <c r="C111" s="513"/>
      <c r="D111" s="451"/>
      <c r="E111" s="451"/>
      <c r="F111" s="451"/>
      <c r="G111" s="451"/>
      <c r="H111" s="451"/>
      <c r="I111" s="511"/>
      <c r="J111" s="450"/>
      <c r="K111" s="89"/>
      <c r="L111" s="413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BB111" s="87"/>
      <c r="BE111" s="87"/>
      <c r="BH111" s="87"/>
      <c r="BK111" s="87"/>
    </row>
    <row r="112" spans="1:63" ht="15.75" thickBot="1" x14ac:dyDescent="0.3">
      <c r="A112" s="245" t="str">
        <f t="shared" si="50"/>
        <v>sábado</v>
      </c>
      <c r="B112" s="244"/>
      <c r="C112" s="452"/>
      <c r="D112" s="511"/>
      <c r="E112" s="451"/>
      <c r="F112" s="451"/>
      <c r="G112" s="451"/>
      <c r="H112" s="451"/>
      <c r="I112" s="511"/>
      <c r="J112" s="450"/>
      <c r="K112" s="89"/>
      <c r="L112" s="514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BB112" s="87"/>
      <c r="BE112" s="87"/>
      <c r="BH112" s="87"/>
      <c r="BK112" s="87"/>
    </row>
    <row r="113" spans="1:63" ht="15.75" thickBot="1" x14ac:dyDescent="0.3">
      <c r="A113" s="245" t="str">
        <f t="shared" si="50"/>
        <v>sábado</v>
      </c>
      <c r="B113" s="244"/>
      <c r="C113" s="450"/>
      <c r="D113" s="451"/>
      <c r="E113" s="451"/>
      <c r="F113" s="451"/>
      <c r="G113" s="451"/>
      <c r="H113" s="451"/>
      <c r="I113" s="511"/>
      <c r="J113" s="450"/>
      <c r="K113" s="89"/>
      <c r="L113" s="413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BB113" s="87"/>
      <c r="BE113" s="87"/>
      <c r="BH113" s="87"/>
      <c r="BK113" s="87"/>
    </row>
    <row r="114" spans="1:63" ht="15.75" thickBot="1" x14ac:dyDescent="0.3">
      <c r="A114" s="245" t="str">
        <f t="shared" si="50"/>
        <v>sábado</v>
      </c>
      <c r="B114" s="244"/>
      <c r="C114" s="450"/>
      <c r="D114" s="451"/>
      <c r="E114" s="451"/>
      <c r="F114" s="451"/>
      <c r="G114" s="451"/>
      <c r="H114" s="451"/>
      <c r="I114" s="511"/>
      <c r="J114" s="450"/>
      <c r="K114" s="63"/>
      <c r="L114" s="413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BB114" s="87"/>
      <c r="BE114" s="87"/>
      <c r="BH114" s="87"/>
      <c r="BK114" s="87"/>
    </row>
    <row r="115" spans="1:63" s="122" customFormat="1" ht="15.75" thickBot="1" x14ac:dyDescent="0.3">
      <c r="A115" s="245" t="str">
        <f t="shared" si="50"/>
        <v>sábado</v>
      </c>
      <c r="B115" s="244"/>
      <c r="C115" s="452"/>
      <c r="D115" s="451"/>
      <c r="E115" s="457"/>
      <c r="F115" s="458"/>
      <c r="G115" s="457"/>
      <c r="H115" s="457"/>
      <c r="I115" s="515"/>
      <c r="J115" s="450"/>
      <c r="K115" s="414"/>
      <c r="L115" s="413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</row>
    <row r="116" spans="1:63" s="118" customFormat="1" ht="15.75" thickBot="1" x14ac:dyDescent="0.3">
      <c r="A116" s="245" t="str">
        <f t="shared" si="50"/>
        <v>sábado</v>
      </c>
      <c r="B116" s="244"/>
      <c r="C116" s="519"/>
      <c r="D116" s="451"/>
      <c r="E116" s="457"/>
      <c r="F116" s="458"/>
      <c r="G116" s="457"/>
      <c r="H116" s="457"/>
      <c r="I116" s="520"/>
      <c r="J116" s="450"/>
      <c r="K116" s="414"/>
      <c r="L116" s="413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</row>
    <row r="117" spans="1:63" s="118" customFormat="1" ht="15.75" thickBot="1" x14ac:dyDescent="0.3">
      <c r="A117" s="245" t="str">
        <f t="shared" si="50"/>
        <v>sábado</v>
      </c>
      <c r="B117" s="244"/>
      <c r="C117" s="450"/>
      <c r="D117" s="518"/>
      <c r="E117" s="451"/>
      <c r="F117" s="451"/>
      <c r="G117" s="451"/>
      <c r="H117" s="451"/>
      <c r="I117" s="518"/>
      <c r="J117" s="450"/>
      <c r="K117" s="414"/>
      <c r="L117" s="413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</row>
    <row r="118" spans="1:63" ht="15.75" thickBot="1" x14ac:dyDescent="0.3">
      <c r="A118" s="245" t="str">
        <f t="shared" si="50"/>
        <v>sábado</v>
      </c>
      <c r="B118" s="244"/>
      <c r="C118" s="500"/>
      <c r="D118" s="451"/>
      <c r="E118" s="451"/>
      <c r="F118" s="451"/>
      <c r="G118" s="451"/>
      <c r="H118" s="451"/>
      <c r="I118" s="499"/>
      <c r="J118" s="450"/>
      <c r="K118" s="416"/>
      <c r="L118" s="413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BB118" s="87"/>
      <c r="BE118" s="87"/>
      <c r="BH118" s="87"/>
      <c r="BK118" s="87"/>
    </row>
    <row r="119" spans="1:63" ht="15.75" thickBot="1" x14ac:dyDescent="0.3">
      <c r="A119" s="245" t="str">
        <f t="shared" si="50"/>
        <v>sábado</v>
      </c>
      <c r="B119" s="244"/>
      <c r="C119" s="450"/>
      <c r="D119" s="518"/>
      <c r="E119" s="451"/>
      <c r="F119" s="451"/>
      <c r="G119" s="451"/>
      <c r="H119" s="451"/>
      <c r="I119" s="518"/>
      <c r="J119" s="450"/>
      <c r="K119" s="416"/>
      <c r="L119" s="413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BB119" s="87"/>
      <c r="BE119" s="87"/>
      <c r="BH119" s="87"/>
      <c r="BK119" s="87"/>
    </row>
    <row r="120" spans="1:63" ht="15.75" thickBot="1" x14ac:dyDescent="0.3">
      <c r="A120" s="245" t="str">
        <f t="shared" si="50"/>
        <v>sábado</v>
      </c>
      <c r="B120" s="244"/>
      <c r="C120" s="450"/>
      <c r="D120" s="524"/>
      <c r="E120" s="451"/>
      <c r="F120" s="451"/>
      <c r="G120" s="451"/>
      <c r="H120" s="451"/>
      <c r="I120" s="518"/>
      <c r="J120" s="450"/>
      <c r="K120" s="414"/>
      <c r="L120" s="522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BB120" s="87"/>
      <c r="BE120" s="87"/>
      <c r="BH120" s="87"/>
      <c r="BK120" s="87"/>
    </row>
    <row r="121" spans="1:63" s="87" customFormat="1" ht="15.75" thickBot="1" x14ac:dyDescent="0.3">
      <c r="A121" s="245" t="str">
        <f t="shared" si="50"/>
        <v>sábado</v>
      </c>
      <c r="B121" s="244"/>
      <c r="C121" s="450"/>
      <c r="D121" s="456"/>
      <c r="E121" s="451"/>
      <c r="F121" s="451"/>
      <c r="G121" s="451"/>
      <c r="H121" s="451"/>
      <c r="I121" s="473"/>
      <c r="J121" s="450"/>
      <c r="K121" s="416"/>
      <c r="L121" s="413"/>
    </row>
    <row r="122" spans="1:63" s="118" customFormat="1" ht="15.75" thickBot="1" x14ac:dyDescent="0.3">
      <c r="A122" s="245" t="str">
        <f t="shared" si="50"/>
        <v>sábado</v>
      </c>
      <c r="B122" s="244"/>
      <c r="C122" s="450"/>
      <c r="D122" s="518"/>
      <c r="E122" s="451"/>
      <c r="F122" s="451"/>
      <c r="G122" s="451"/>
      <c r="H122" s="451"/>
      <c r="I122" s="518"/>
      <c r="J122" s="450"/>
      <c r="K122" s="414"/>
      <c r="L122" s="412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</row>
    <row r="123" spans="1:63" s="118" customFormat="1" ht="15.75" thickBot="1" x14ac:dyDescent="0.3">
      <c r="A123" s="245" t="str">
        <f t="shared" si="50"/>
        <v>sábado</v>
      </c>
      <c r="B123" s="244"/>
      <c r="C123" s="450"/>
      <c r="D123" s="451"/>
      <c r="E123" s="451"/>
      <c r="F123" s="451"/>
      <c r="G123" s="451"/>
      <c r="H123" s="451"/>
      <c r="I123" s="523"/>
      <c r="J123" s="450"/>
      <c r="K123" s="414"/>
      <c r="L123" s="488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</row>
    <row r="124" spans="1:63" s="118" customFormat="1" ht="15.75" thickBot="1" x14ac:dyDescent="0.3">
      <c r="A124" s="245" t="str">
        <f t="shared" si="50"/>
        <v>sábado</v>
      </c>
      <c r="B124" s="244"/>
      <c r="C124" s="450"/>
      <c r="D124" s="523"/>
      <c r="E124" s="451"/>
      <c r="F124" s="451"/>
      <c r="G124" s="451"/>
      <c r="H124" s="451"/>
      <c r="I124" s="523"/>
      <c r="J124" s="450"/>
      <c r="K124" s="414"/>
      <c r="L124" s="413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</row>
    <row r="125" spans="1:63" s="122" customFormat="1" ht="15.75" thickBot="1" x14ac:dyDescent="0.3">
      <c r="A125" s="245" t="str">
        <f t="shared" si="50"/>
        <v>sábado</v>
      </c>
      <c r="B125" s="244"/>
      <c r="C125" s="450"/>
      <c r="D125" s="523"/>
      <c r="E125" s="451"/>
      <c r="F125" s="451"/>
      <c r="G125" s="451"/>
      <c r="H125" s="451"/>
      <c r="I125" s="523"/>
      <c r="J125" s="450"/>
      <c r="K125" s="414"/>
      <c r="L125" s="413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</row>
    <row r="126" spans="1:63" ht="15.75" thickBot="1" x14ac:dyDescent="0.3">
      <c r="A126" s="245" t="str">
        <f t="shared" si="50"/>
        <v>sábado</v>
      </c>
      <c r="B126" s="244"/>
      <c r="C126" s="450"/>
      <c r="D126" s="451"/>
      <c r="E126" s="451"/>
      <c r="F126" s="451"/>
      <c r="G126" s="451"/>
      <c r="H126" s="451"/>
      <c r="I126" s="503"/>
      <c r="J126" s="450"/>
      <c r="K126" s="414"/>
      <c r="L126" s="413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BB126" s="87"/>
      <c r="BE126" s="87"/>
      <c r="BH126" s="87"/>
      <c r="BK126" s="87"/>
    </row>
    <row r="127" spans="1:63" ht="15.75" thickBot="1" x14ac:dyDescent="0.3">
      <c r="A127" s="245" t="str">
        <f t="shared" si="50"/>
        <v>sábado</v>
      </c>
      <c r="B127" s="244"/>
      <c r="C127" s="450"/>
      <c r="D127" s="487"/>
      <c r="E127" s="451"/>
      <c r="F127" s="451"/>
      <c r="G127" s="451"/>
      <c r="H127" s="451"/>
      <c r="I127" s="487"/>
      <c r="J127" s="450"/>
      <c r="K127" s="414"/>
      <c r="L127" s="413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BB127" s="87"/>
      <c r="BE127" s="87"/>
      <c r="BH127" s="87"/>
      <c r="BK127" s="87"/>
    </row>
    <row r="128" spans="1:63" ht="15.75" thickBot="1" x14ac:dyDescent="0.3">
      <c r="A128" s="245" t="str">
        <f>+TEXT(B128,"dddd")</f>
        <v>sábado</v>
      </c>
      <c r="B128" s="244"/>
      <c r="C128" s="452"/>
      <c r="D128" s="523"/>
      <c r="E128" s="451"/>
      <c r="F128" s="451"/>
      <c r="G128" s="451"/>
      <c r="H128" s="451"/>
      <c r="I128" s="523"/>
      <c r="J128" s="450"/>
      <c r="K128" s="414"/>
      <c r="L128" s="413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BB128" s="87"/>
      <c r="BE128" s="87"/>
      <c r="BH128" s="87"/>
      <c r="BK128" s="87"/>
    </row>
    <row r="129" spans="1:63" s="118" customFormat="1" ht="15.75" thickBot="1" x14ac:dyDescent="0.3">
      <c r="A129" s="245" t="str">
        <f>+TEXT(B129,"dddd")</f>
        <v>sábado</v>
      </c>
      <c r="B129" s="244"/>
      <c r="C129" s="450"/>
      <c r="D129" s="523"/>
      <c r="E129" s="451"/>
      <c r="F129" s="451"/>
      <c r="G129" s="451"/>
      <c r="H129" s="451"/>
      <c r="I129" s="523"/>
      <c r="J129" s="450"/>
      <c r="K129" s="414"/>
      <c r="L129" s="413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</row>
    <row r="130" spans="1:63" s="118" customFormat="1" ht="15.75" thickBot="1" x14ac:dyDescent="0.3">
      <c r="A130" s="245" t="str">
        <f t="shared" si="50"/>
        <v>sábado</v>
      </c>
      <c r="B130" s="244"/>
      <c r="C130" s="450"/>
      <c r="D130" s="451"/>
      <c r="E130" s="451"/>
      <c r="F130" s="451"/>
      <c r="G130" s="451"/>
      <c r="H130" s="451"/>
      <c r="I130" s="451"/>
      <c r="J130" s="450"/>
      <c r="K130" s="414"/>
      <c r="L130" s="413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</row>
    <row r="131" spans="1:63" s="118" customFormat="1" ht="15.75" thickBot="1" x14ac:dyDescent="0.3">
      <c r="A131" s="245" t="str">
        <f t="shared" si="50"/>
        <v>sábado</v>
      </c>
      <c r="B131" s="244"/>
      <c r="C131" s="450"/>
      <c r="D131" s="537"/>
      <c r="E131" s="451"/>
      <c r="F131" s="451"/>
      <c r="G131" s="451"/>
      <c r="H131" s="451"/>
      <c r="I131" s="537"/>
      <c r="J131" s="450"/>
      <c r="K131" s="413"/>
      <c r="L131" s="413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</row>
    <row r="132" spans="1:63" s="122" customFormat="1" ht="15.75" thickBot="1" x14ac:dyDescent="0.3">
      <c r="A132" s="245" t="str">
        <f t="shared" si="50"/>
        <v>sábado</v>
      </c>
      <c r="B132" s="244"/>
      <c r="C132" s="450"/>
      <c r="D132" s="537"/>
      <c r="E132" s="451"/>
      <c r="F132" s="451"/>
      <c r="G132" s="451"/>
      <c r="H132" s="451"/>
      <c r="I132" s="537"/>
      <c r="J132" s="454"/>
      <c r="K132" s="414"/>
      <c r="L132" s="413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</row>
    <row r="133" spans="1:63" s="122" customFormat="1" ht="15.75" thickBot="1" x14ac:dyDescent="0.3">
      <c r="A133" s="245" t="str">
        <f t="shared" si="50"/>
        <v>sábado</v>
      </c>
      <c r="B133" s="244"/>
      <c r="C133" s="450"/>
      <c r="D133" s="537"/>
      <c r="E133" s="451"/>
      <c r="F133" s="451"/>
      <c r="G133" s="451"/>
      <c r="H133" s="451"/>
      <c r="I133" s="537"/>
      <c r="J133" s="454"/>
      <c r="K133" s="414"/>
      <c r="L133" s="413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</row>
    <row r="134" spans="1:63" s="118" customFormat="1" ht="15.75" thickBot="1" x14ac:dyDescent="0.3">
      <c r="A134" s="245" t="str">
        <f t="shared" si="50"/>
        <v>sábado</v>
      </c>
      <c r="B134" s="244"/>
      <c r="C134" s="450"/>
      <c r="D134" s="538"/>
      <c r="E134" s="451"/>
      <c r="F134" s="451"/>
      <c r="G134" s="451"/>
      <c r="H134" s="451"/>
      <c r="I134" s="537"/>
      <c r="J134" s="450"/>
      <c r="K134" s="414"/>
      <c r="L134" s="413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</row>
    <row r="135" spans="1:63" s="118" customFormat="1" ht="15.75" thickBot="1" x14ac:dyDescent="0.3">
      <c r="A135" s="245" t="str">
        <f t="shared" ref="A135:A198" si="51">+TEXT(B135,"dddd")</f>
        <v>sábado</v>
      </c>
      <c r="B135" s="244"/>
      <c r="C135" s="450"/>
      <c r="D135" s="537"/>
      <c r="E135" s="451"/>
      <c r="F135" s="451"/>
      <c r="G135" s="451"/>
      <c r="H135" s="451"/>
      <c r="I135" s="537"/>
      <c r="J135" s="450"/>
      <c r="K135" s="413"/>
      <c r="L135" s="413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</row>
    <row r="136" spans="1:63" ht="15.75" thickBot="1" x14ac:dyDescent="0.3">
      <c r="A136" s="245" t="str">
        <f t="shared" si="51"/>
        <v>sábado</v>
      </c>
      <c r="B136" s="244"/>
      <c r="C136" s="450"/>
      <c r="D136" s="537"/>
      <c r="E136" s="451"/>
      <c r="F136" s="451"/>
      <c r="G136" s="451"/>
      <c r="H136" s="451"/>
      <c r="I136" s="537"/>
      <c r="J136" s="450"/>
      <c r="K136" s="413"/>
      <c r="L136" s="413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BB136" s="87"/>
      <c r="BE136" s="87"/>
      <c r="BH136" s="87"/>
      <c r="BK136" s="87"/>
    </row>
    <row r="137" spans="1:63" ht="15.75" thickBot="1" x14ac:dyDescent="0.3">
      <c r="A137" s="245" t="str">
        <f t="shared" si="51"/>
        <v>sábado</v>
      </c>
      <c r="B137" s="244"/>
      <c r="C137" s="453"/>
      <c r="D137" s="537"/>
      <c r="E137" s="451"/>
      <c r="F137" s="451"/>
      <c r="G137" s="451"/>
      <c r="H137" s="451"/>
      <c r="I137" s="537"/>
      <c r="J137" s="450"/>
      <c r="K137" s="413"/>
      <c r="L137" s="413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BB137" s="87"/>
      <c r="BE137" s="87"/>
      <c r="BH137" s="87"/>
      <c r="BK137" s="87"/>
    </row>
    <row r="138" spans="1:63" ht="15.75" thickBot="1" x14ac:dyDescent="0.3">
      <c r="A138" s="245" t="str">
        <f t="shared" si="51"/>
        <v>sábado</v>
      </c>
      <c r="B138" s="304"/>
      <c r="C138" s="450"/>
      <c r="D138" s="537"/>
      <c r="E138" s="451"/>
      <c r="F138" s="451"/>
      <c r="G138" s="451"/>
      <c r="H138" s="451"/>
      <c r="I138" s="537"/>
      <c r="J138" s="450"/>
      <c r="K138" s="413"/>
      <c r="L138" s="413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BB138" s="87"/>
      <c r="BE138" s="87"/>
      <c r="BH138" s="87"/>
      <c r="BK138" s="87"/>
    </row>
    <row r="139" spans="1:63" ht="15.75" thickBot="1" x14ac:dyDescent="0.3">
      <c r="A139" s="245" t="str">
        <f t="shared" si="51"/>
        <v>sábado</v>
      </c>
      <c r="B139" s="304"/>
      <c r="C139" s="450"/>
      <c r="D139" s="537"/>
      <c r="E139" s="451"/>
      <c r="F139" s="451"/>
      <c r="G139" s="451"/>
      <c r="H139" s="451"/>
      <c r="I139" s="537"/>
      <c r="J139" s="450"/>
      <c r="K139" s="413"/>
      <c r="L139" s="413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BB139" s="87"/>
      <c r="BE139" s="87"/>
      <c r="BH139" s="87"/>
      <c r="BK139" s="87"/>
    </row>
    <row r="140" spans="1:63" ht="15.75" thickBot="1" x14ac:dyDescent="0.3">
      <c r="A140" s="245" t="str">
        <f t="shared" si="51"/>
        <v>sábado</v>
      </c>
      <c r="B140" s="304"/>
      <c r="C140" s="539"/>
      <c r="D140" s="453"/>
      <c r="E140" s="451"/>
      <c r="F140" s="451"/>
      <c r="G140" s="451"/>
      <c r="H140" s="451"/>
      <c r="I140" s="540"/>
      <c r="J140" s="450"/>
      <c r="K140" s="413"/>
      <c r="L140" s="413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BB140" s="87"/>
      <c r="BE140" s="87"/>
      <c r="BH140" s="87"/>
      <c r="BK140" s="87"/>
    </row>
    <row r="141" spans="1:63" ht="15.75" thickBot="1" x14ac:dyDescent="0.3">
      <c r="A141" s="245" t="str">
        <f t="shared" si="51"/>
        <v>sábado</v>
      </c>
      <c r="B141" s="403"/>
      <c r="C141" s="450"/>
      <c r="D141" s="451"/>
      <c r="E141" s="451"/>
      <c r="F141" s="451"/>
      <c r="G141" s="451"/>
      <c r="H141" s="451"/>
      <c r="I141" s="451"/>
      <c r="J141" s="450"/>
      <c r="K141" s="413"/>
      <c r="L141" s="413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BB141" s="87"/>
      <c r="BE141" s="87"/>
      <c r="BH141" s="87"/>
      <c r="BK141" s="87"/>
    </row>
    <row r="142" spans="1:63" s="122" customFormat="1" ht="15.75" thickBot="1" x14ac:dyDescent="0.3">
      <c r="A142" s="245" t="str">
        <f t="shared" si="51"/>
        <v>sábado</v>
      </c>
      <c r="B142" s="403"/>
      <c r="C142" s="453"/>
      <c r="D142" s="451"/>
      <c r="E142" s="451"/>
      <c r="F142" s="451"/>
      <c r="G142" s="451"/>
      <c r="H142" s="451"/>
      <c r="I142" s="542"/>
      <c r="J142" s="450"/>
      <c r="K142" s="413"/>
      <c r="L142" s="413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</row>
    <row r="143" spans="1:63" ht="15.75" thickBot="1" x14ac:dyDescent="0.3">
      <c r="A143" s="245" t="str">
        <f t="shared" si="51"/>
        <v>sábado</v>
      </c>
      <c r="B143" s="403"/>
      <c r="C143" s="453"/>
      <c r="D143" s="451"/>
      <c r="E143" s="451"/>
      <c r="F143" s="465"/>
      <c r="G143" s="451"/>
      <c r="H143" s="451"/>
      <c r="I143" s="451"/>
      <c r="J143" s="450"/>
      <c r="K143" s="413"/>
      <c r="L143" s="413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BB143" s="87"/>
      <c r="BE143" s="87"/>
      <c r="BH143" s="87"/>
      <c r="BK143" s="87"/>
    </row>
    <row r="144" spans="1:63" ht="15.75" thickBot="1" x14ac:dyDescent="0.3">
      <c r="A144" s="245" t="str">
        <f t="shared" si="51"/>
        <v>sábado</v>
      </c>
      <c r="B144" s="403"/>
      <c r="C144" s="453"/>
      <c r="D144" s="455"/>
      <c r="E144" s="451"/>
      <c r="F144" s="451"/>
      <c r="G144" s="451"/>
      <c r="H144" s="451"/>
      <c r="I144" s="542"/>
      <c r="J144" s="450"/>
      <c r="K144" s="413"/>
      <c r="L144" s="413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BB144" s="87"/>
      <c r="BE144" s="87"/>
      <c r="BH144" s="87"/>
      <c r="BK144" s="87"/>
    </row>
    <row r="145" spans="1:63" ht="15.75" thickBot="1" x14ac:dyDescent="0.3">
      <c r="A145" s="245" t="str">
        <f t="shared" si="51"/>
        <v>sábado</v>
      </c>
      <c r="B145" s="403"/>
      <c r="C145" s="453"/>
      <c r="D145" s="451"/>
      <c r="E145" s="451"/>
      <c r="F145" s="451"/>
      <c r="G145" s="451"/>
      <c r="H145" s="451"/>
      <c r="I145" s="542"/>
      <c r="J145" s="450"/>
      <c r="K145" s="413"/>
      <c r="L145" s="413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BB145" s="87"/>
      <c r="BE145" s="87"/>
      <c r="BH145" s="87"/>
      <c r="BK145" s="87"/>
    </row>
    <row r="146" spans="1:63" ht="15.75" thickBot="1" x14ac:dyDescent="0.3">
      <c r="A146" s="245" t="str">
        <f t="shared" si="51"/>
        <v>sábado</v>
      </c>
      <c r="B146" s="403"/>
      <c r="C146" s="453"/>
      <c r="D146" s="451"/>
      <c r="E146" s="451"/>
      <c r="F146" s="451"/>
      <c r="G146" s="451"/>
      <c r="H146" s="451"/>
      <c r="I146" s="451"/>
      <c r="J146" s="450"/>
      <c r="K146" s="413"/>
      <c r="L146" s="413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BB146" s="87"/>
      <c r="BE146" s="87"/>
      <c r="BH146" s="87"/>
      <c r="BK146" s="87"/>
    </row>
    <row r="147" spans="1:63" ht="15.75" thickBot="1" x14ac:dyDescent="0.3">
      <c r="A147" s="245" t="str">
        <f t="shared" si="51"/>
        <v>sábado</v>
      </c>
      <c r="B147" s="403"/>
      <c r="C147" s="453"/>
      <c r="D147" s="451"/>
      <c r="E147" s="451"/>
      <c r="F147" s="451"/>
      <c r="G147" s="451"/>
      <c r="H147" s="451"/>
      <c r="I147" s="542"/>
      <c r="J147" s="450"/>
      <c r="K147" s="413"/>
      <c r="L147" s="413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BB147" s="87"/>
      <c r="BE147" s="87"/>
      <c r="BH147" s="87"/>
      <c r="BK147" s="87"/>
    </row>
    <row r="148" spans="1:63" s="118" customFormat="1" ht="15.75" thickBot="1" x14ac:dyDescent="0.3">
      <c r="A148" s="245" t="str">
        <f t="shared" si="51"/>
        <v>sábado</v>
      </c>
      <c r="B148" s="403"/>
      <c r="C148" s="452"/>
      <c r="D148" s="451"/>
      <c r="E148" s="451"/>
      <c r="F148" s="451"/>
      <c r="G148" s="451"/>
      <c r="H148" s="451"/>
      <c r="I148" s="542"/>
      <c r="J148" s="450"/>
      <c r="K148" s="413"/>
      <c r="L148" s="413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</row>
    <row r="149" spans="1:63" s="122" customFormat="1" ht="15.75" thickBot="1" x14ac:dyDescent="0.3">
      <c r="A149" s="245" t="str">
        <f t="shared" si="51"/>
        <v>sábado</v>
      </c>
      <c r="B149" s="403"/>
      <c r="C149" s="453"/>
      <c r="D149" s="451"/>
      <c r="E149" s="451"/>
      <c r="F149" s="453"/>
      <c r="G149" s="451"/>
      <c r="H149" s="451"/>
      <c r="I149" s="543"/>
      <c r="J149" s="450"/>
      <c r="K149" s="413"/>
      <c r="L149" s="413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</row>
    <row r="150" spans="1:63" s="118" customFormat="1" ht="15.75" thickBot="1" x14ac:dyDescent="0.3">
      <c r="A150" s="245" t="str">
        <f t="shared" si="51"/>
        <v>sábado</v>
      </c>
      <c r="B150" s="403"/>
      <c r="C150" s="453"/>
      <c r="D150" s="543"/>
      <c r="E150" s="451"/>
      <c r="F150" s="451"/>
      <c r="G150" s="451"/>
      <c r="H150" s="451"/>
      <c r="I150" s="543"/>
      <c r="J150" s="450"/>
      <c r="K150" s="413"/>
      <c r="L150" s="413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</row>
    <row r="151" spans="1:63" s="118" customFormat="1" ht="15.75" thickBot="1" x14ac:dyDescent="0.3">
      <c r="A151" s="245" t="str">
        <f t="shared" si="51"/>
        <v>sábado</v>
      </c>
      <c r="B151" s="403"/>
      <c r="C151" s="453"/>
      <c r="D151" s="543"/>
      <c r="E151" s="451"/>
      <c r="F151" s="451"/>
      <c r="G151" s="451"/>
      <c r="H151" s="451"/>
      <c r="I151" s="543"/>
      <c r="J151" s="450"/>
      <c r="K151" s="413"/>
      <c r="L151" s="413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</row>
    <row r="152" spans="1:63" s="118" customFormat="1" ht="15.75" thickBot="1" x14ac:dyDescent="0.3">
      <c r="A152" s="245" t="str">
        <f t="shared" si="51"/>
        <v>sábado</v>
      </c>
      <c r="B152" s="403"/>
      <c r="C152" s="453"/>
      <c r="D152" s="543"/>
      <c r="E152" s="451"/>
      <c r="F152" s="451"/>
      <c r="G152" s="451"/>
      <c r="H152" s="451"/>
      <c r="I152" s="543"/>
      <c r="J152" s="450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</row>
    <row r="153" spans="1:63" s="122" customFormat="1" ht="15.75" thickBot="1" x14ac:dyDescent="0.3">
      <c r="A153" s="245" t="str">
        <f t="shared" si="51"/>
        <v>sábado</v>
      </c>
      <c r="B153" s="403"/>
      <c r="C153" s="452"/>
      <c r="D153" s="451"/>
      <c r="E153" s="451"/>
      <c r="F153" s="451"/>
      <c r="G153" s="451"/>
      <c r="H153" s="451"/>
      <c r="I153" s="473"/>
      <c r="J153" s="450"/>
      <c r="K153" s="87"/>
      <c r="L153" s="415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</row>
    <row r="154" spans="1:63" ht="13.5" customHeight="1" thickBot="1" x14ac:dyDescent="0.3">
      <c r="A154" s="245" t="str">
        <f t="shared" si="51"/>
        <v>sábado</v>
      </c>
      <c r="B154" s="403"/>
      <c r="C154" s="450"/>
      <c r="D154" s="545"/>
      <c r="E154" s="451"/>
      <c r="F154" s="451"/>
      <c r="G154" s="451"/>
      <c r="H154" s="451"/>
      <c r="I154" s="544"/>
      <c r="J154" s="450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BB154" s="87"/>
      <c r="BE154" s="87"/>
      <c r="BH154" s="87"/>
      <c r="BK154" s="87"/>
    </row>
    <row r="155" spans="1:63" s="118" customFormat="1" ht="13.5" customHeight="1" thickBot="1" x14ac:dyDescent="0.3">
      <c r="A155" s="245" t="str">
        <f t="shared" si="51"/>
        <v>sábado</v>
      </c>
      <c r="B155" s="403"/>
      <c r="C155" s="500"/>
      <c r="D155" s="451"/>
      <c r="E155" s="451"/>
      <c r="F155" s="451"/>
      <c r="G155" s="451"/>
      <c r="H155" s="451"/>
      <c r="I155" s="499"/>
      <c r="J155" s="450"/>
      <c r="K155" s="87"/>
      <c r="L155" s="546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</row>
    <row r="156" spans="1:63" s="118" customFormat="1" ht="15.75" thickBot="1" x14ac:dyDescent="0.3">
      <c r="A156" s="245" t="str">
        <f t="shared" si="51"/>
        <v>sábado</v>
      </c>
      <c r="B156" s="403"/>
      <c r="C156" s="453"/>
      <c r="D156" s="451"/>
      <c r="E156" s="451"/>
      <c r="F156" s="451"/>
      <c r="G156" s="451"/>
      <c r="H156" s="451"/>
      <c r="I156" s="451"/>
      <c r="J156" s="450"/>
      <c r="K156" s="87"/>
      <c r="L156" s="546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</row>
    <row r="157" spans="1:63" s="118" customFormat="1" ht="15.75" thickBot="1" x14ac:dyDescent="0.3">
      <c r="A157" s="245" t="str">
        <f t="shared" si="51"/>
        <v>sábado</v>
      </c>
      <c r="B157" s="403"/>
      <c r="C157" s="453"/>
      <c r="D157" s="451"/>
      <c r="E157" s="451"/>
      <c r="F157" s="451"/>
      <c r="G157" s="451"/>
      <c r="H157" s="451"/>
      <c r="I157" s="451"/>
      <c r="J157" s="450"/>
      <c r="K157" s="413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</row>
    <row r="158" spans="1:63" s="118" customFormat="1" ht="15.75" thickBot="1" x14ac:dyDescent="0.3">
      <c r="A158" s="245" t="str">
        <f t="shared" si="51"/>
        <v>sábado</v>
      </c>
      <c r="B158" s="403"/>
      <c r="C158" s="453"/>
      <c r="D158" s="451"/>
      <c r="E158" s="451"/>
      <c r="F158" s="451"/>
      <c r="G158" s="451"/>
      <c r="H158" s="451"/>
      <c r="I158" s="451"/>
      <c r="J158" s="450"/>
      <c r="K158" s="413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</row>
    <row r="159" spans="1:63" s="118" customFormat="1" ht="15.75" thickBot="1" x14ac:dyDescent="0.3">
      <c r="A159" s="245" t="str">
        <f t="shared" si="51"/>
        <v>sábado</v>
      </c>
      <c r="B159" s="403"/>
      <c r="C159" s="545"/>
      <c r="D159" s="451"/>
      <c r="E159" s="451"/>
      <c r="F159" s="451"/>
      <c r="G159" s="451"/>
      <c r="H159" s="451"/>
      <c r="I159" s="544"/>
      <c r="J159" s="450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</row>
    <row r="160" spans="1:63" s="122" customFormat="1" ht="15.75" thickBot="1" x14ac:dyDescent="0.3">
      <c r="A160" s="245" t="str">
        <f t="shared" si="51"/>
        <v>sábado</v>
      </c>
      <c r="B160" s="403"/>
      <c r="C160" s="450"/>
      <c r="D160" s="451"/>
      <c r="E160" s="451"/>
      <c r="F160" s="451"/>
      <c r="G160" s="451"/>
      <c r="H160" s="451"/>
      <c r="I160" s="451"/>
      <c r="J160" s="450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</row>
    <row r="161" spans="1:63" ht="15.75" thickBot="1" x14ac:dyDescent="0.3">
      <c r="A161" s="245" t="str">
        <f t="shared" si="51"/>
        <v>sábado</v>
      </c>
      <c r="B161" s="403"/>
      <c r="C161" s="453"/>
      <c r="D161" s="453"/>
      <c r="E161" s="451"/>
      <c r="F161" s="451"/>
      <c r="G161" s="451"/>
      <c r="H161" s="451"/>
      <c r="I161" s="451"/>
      <c r="J161" s="450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BB161" s="87"/>
      <c r="BE161" s="87"/>
      <c r="BH161" s="87"/>
      <c r="BK161" s="87"/>
    </row>
    <row r="162" spans="1:63" ht="15.75" thickBot="1" x14ac:dyDescent="0.3">
      <c r="A162" s="245" t="str">
        <f t="shared" si="51"/>
        <v>sábado</v>
      </c>
      <c r="B162" s="403"/>
      <c r="C162" s="453"/>
      <c r="D162" s="451"/>
      <c r="E162" s="451"/>
      <c r="F162" s="451"/>
      <c r="G162" s="451"/>
      <c r="H162" s="451"/>
      <c r="I162" s="547"/>
      <c r="J162" s="450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BB162" s="87"/>
      <c r="BE162" s="87"/>
      <c r="BH162" s="87"/>
      <c r="BK162" s="87"/>
    </row>
    <row r="163" spans="1:63" ht="15.75" thickBot="1" x14ac:dyDescent="0.3">
      <c r="A163" s="245" t="str">
        <f t="shared" si="51"/>
        <v>sábado</v>
      </c>
      <c r="B163" s="403"/>
      <c r="C163" s="453"/>
      <c r="D163" s="451"/>
      <c r="E163" s="451"/>
      <c r="F163" s="451"/>
      <c r="G163" s="451"/>
      <c r="H163" s="451"/>
      <c r="I163" s="547"/>
      <c r="J163" s="450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BB163" s="87"/>
      <c r="BE163" s="87"/>
      <c r="BH163" s="87"/>
      <c r="BK163" s="87"/>
    </row>
    <row r="164" spans="1:63" ht="15.75" thickBot="1" x14ac:dyDescent="0.3">
      <c r="A164" s="245" t="str">
        <f t="shared" si="51"/>
        <v>sábado</v>
      </c>
      <c r="B164" s="403"/>
      <c r="C164" s="453"/>
      <c r="D164" s="451"/>
      <c r="E164" s="451"/>
      <c r="F164" s="451"/>
      <c r="G164" s="451"/>
      <c r="H164" s="451"/>
      <c r="I164" s="547"/>
      <c r="J164" s="450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BB164" s="87"/>
      <c r="BE164" s="87"/>
      <c r="BH164" s="87"/>
      <c r="BK164" s="87"/>
    </row>
    <row r="165" spans="1:63" ht="15.75" thickBot="1" x14ac:dyDescent="0.3">
      <c r="A165" s="245" t="str">
        <f t="shared" si="51"/>
        <v>sábado</v>
      </c>
      <c r="B165" s="403"/>
      <c r="C165" s="453"/>
      <c r="D165" s="451"/>
      <c r="E165" s="451"/>
      <c r="F165" s="451"/>
      <c r="G165" s="451"/>
      <c r="H165" s="451"/>
      <c r="I165" s="547"/>
      <c r="J165" s="450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BB165" s="87"/>
      <c r="BE165" s="87"/>
      <c r="BH165" s="87"/>
      <c r="BK165" s="87"/>
    </row>
    <row r="166" spans="1:63" s="118" customFormat="1" ht="15.75" thickBot="1" x14ac:dyDescent="0.3">
      <c r="A166" s="245" t="str">
        <f t="shared" si="51"/>
        <v>sábado</v>
      </c>
      <c r="B166" s="403"/>
      <c r="C166" s="453"/>
      <c r="D166" s="451"/>
      <c r="E166" s="451"/>
      <c r="F166" s="451"/>
      <c r="G166" s="451"/>
      <c r="H166" s="451"/>
      <c r="I166" s="547"/>
      <c r="J166" s="450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</row>
    <row r="167" spans="1:63" s="118" customFormat="1" ht="15.75" thickBot="1" x14ac:dyDescent="0.3">
      <c r="A167" s="245" t="str">
        <f t="shared" si="51"/>
        <v>sábado</v>
      </c>
      <c r="B167" s="403"/>
      <c r="C167" s="548"/>
      <c r="D167" s="451"/>
      <c r="E167" s="451"/>
      <c r="F167" s="451"/>
      <c r="G167" s="451"/>
      <c r="H167" s="451"/>
      <c r="I167" s="549"/>
      <c r="J167" s="450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</row>
    <row r="168" spans="1:63" ht="15.75" thickBot="1" x14ac:dyDescent="0.3">
      <c r="A168" s="245" t="str">
        <f t="shared" si="51"/>
        <v>sábado</v>
      </c>
      <c r="B168" s="403"/>
      <c r="C168" s="548"/>
      <c r="D168" s="451"/>
      <c r="E168" s="451"/>
      <c r="F168" s="451"/>
      <c r="G168" s="451"/>
      <c r="H168" s="451"/>
      <c r="I168" s="549"/>
      <c r="J168" s="450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BB168" s="87"/>
      <c r="BE168" s="87"/>
      <c r="BH168" s="87"/>
      <c r="BK168" s="87"/>
    </row>
    <row r="169" spans="1:63" ht="15.75" thickBot="1" x14ac:dyDescent="0.3">
      <c r="A169" s="245" t="str">
        <f t="shared" si="51"/>
        <v>sábado</v>
      </c>
      <c r="B169" s="403"/>
      <c r="C169" s="453"/>
      <c r="D169" s="451"/>
      <c r="E169" s="451"/>
      <c r="F169" s="451"/>
      <c r="G169" s="451"/>
      <c r="H169" s="451"/>
      <c r="I169" s="549"/>
      <c r="J169" s="450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BB169" s="87"/>
      <c r="BE169" s="87"/>
      <c r="BH169" s="87"/>
      <c r="BK169" s="87"/>
    </row>
    <row r="170" spans="1:63" ht="15.75" thickBot="1" x14ac:dyDescent="0.3">
      <c r="A170" s="245" t="str">
        <f t="shared" si="51"/>
        <v>sábado</v>
      </c>
      <c r="B170" s="403"/>
      <c r="C170" s="548"/>
      <c r="D170" s="451"/>
      <c r="E170" s="451"/>
      <c r="F170" s="451"/>
      <c r="G170" s="451"/>
      <c r="H170" s="451"/>
      <c r="I170" s="549"/>
      <c r="J170" s="450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BB170" s="87"/>
      <c r="BE170" s="87"/>
      <c r="BH170" s="87"/>
      <c r="BK170" s="87"/>
    </row>
    <row r="171" spans="1:63" s="118" customFormat="1" ht="15.75" thickBot="1" x14ac:dyDescent="0.3">
      <c r="A171" s="245" t="str">
        <f t="shared" si="51"/>
        <v>sábado</v>
      </c>
      <c r="B171" s="403"/>
      <c r="C171" s="453"/>
      <c r="D171" s="451"/>
      <c r="E171" s="451"/>
      <c r="F171" s="451"/>
      <c r="G171" s="451"/>
      <c r="H171" s="451"/>
      <c r="I171" s="549"/>
      <c r="J171" s="450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</row>
    <row r="172" spans="1:63" s="118" customFormat="1" ht="15.75" thickBot="1" x14ac:dyDescent="0.3">
      <c r="A172" s="245" t="str">
        <f t="shared" si="51"/>
        <v>sábado</v>
      </c>
      <c r="B172" s="403"/>
      <c r="C172" s="450"/>
      <c r="D172" s="523"/>
      <c r="E172" s="451"/>
      <c r="F172" s="451"/>
      <c r="G172" s="451"/>
      <c r="H172" s="451"/>
      <c r="I172" s="523"/>
      <c r="J172" s="450"/>
      <c r="K172" s="414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</row>
    <row r="173" spans="1:63" s="118" customFormat="1" ht="15.75" thickBot="1" x14ac:dyDescent="0.3">
      <c r="A173" s="245" t="str">
        <f t="shared" si="51"/>
        <v>sábado</v>
      </c>
      <c r="B173" s="403"/>
      <c r="C173" s="453"/>
      <c r="D173" s="451"/>
      <c r="E173" s="451"/>
      <c r="F173" s="451"/>
      <c r="G173" s="451"/>
      <c r="H173" s="451"/>
      <c r="I173" s="451"/>
      <c r="J173" s="450"/>
      <c r="K173" s="421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</row>
    <row r="174" spans="1:63" ht="15.75" thickBot="1" x14ac:dyDescent="0.3">
      <c r="A174" s="245" t="str">
        <f t="shared" si="51"/>
        <v>sábado</v>
      </c>
      <c r="B174" s="403"/>
      <c r="C174" s="452"/>
      <c r="D174" s="491"/>
      <c r="E174" s="451"/>
      <c r="F174" s="451"/>
      <c r="G174" s="451"/>
      <c r="H174" s="451"/>
      <c r="I174" s="491"/>
      <c r="J174" s="450"/>
      <c r="K174" s="421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BB174" s="87"/>
      <c r="BE174" s="87"/>
      <c r="BH174" s="87"/>
      <c r="BK174" s="87"/>
    </row>
    <row r="175" spans="1:63" s="118" customFormat="1" ht="15.75" thickBot="1" x14ac:dyDescent="0.3">
      <c r="A175" s="245" t="str">
        <f t="shared" si="51"/>
        <v>sábado</v>
      </c>
      <c r="B175" s="403"/>
      <c r="C175" s="450"/>
      <c r="D175" s="537"/>
      <c r="E175" s="451"/>
      <c r="F175" s="451"/>
      <c r="G175" s="451"/>
      <c r="H175" s="451"/>
      <c r="I175" s="537"/>
      <c r="J175" s="450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</row>
    <row r="176" spans="1:63" s="118" customFormat="1" ht="15.75" thickBot="1" x14ac:dyDescent="0.3">
      <c r="A176" s="245" t="str">
        <f t="shared" si="51"/>
        <v>sábado</v>
      </c>
      <c r="B176" s="403"/>
      <c r="C176" s="453"/>
      <c r="D176" s="550"/>
      <c r="E176" s="451"/>
      <c r="F176" s="451"/>
      <c r="G176" s="451"/>
      <c r="H176" s="451"/>
      <c r="I176" s="550"/>
      <c r="J176" s="450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</row>
    <row r="177" spans="1:63" s="118" customFormat="1" ht="15.75" thickBot="1" x14ac:dyDescent="0.3">
      <c r="A177" s="245" t="str">
        <f t="shared" si="51"/>
        <v>sábado</v>
      </c>
      <c r="B177" s="403"/>
      <c r="C177" s="453"/>
      <c r="D177" s="550"/>
      <c r="E177" s="451"/>
      <c r="F177" s="451"/>
      <c r="G177" s="451"/>
      <c r="H177" s="451"/>
      <c r="I177" s="550"/>
      <c r="J177" s="450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</row>
    <row r="178" spans="1:63" s="118" customFormat="1" ht="15.75" thickBot="1" x14ac:dyDescent="0.3">
      <c r="A178" s="245" t="str">
        <f t="shared" si="51"/>
        <v>sábado</v>
      </c>
      <c r="B178" s="403"/>
      <c r="C178" s="453"/>
      <c r="D178" s="451"/>
      <c r="E178" s="451"/>
      <c r="F178" s="451"/>
      <c r="G178" s="451"/>
      <c r="H178" s="451"/>
      <c r="I178" s="451"/>
      <c r="J178" s="450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</row>
    <row r="179" spans="1:63" ht="15.75" thickBot="1" x14ac:dyDescent="0.3">
      <c r="A179" s="245" t="str">
        <f t="shared" si="51"/>
        <v>sábado</v>
      </c>
      <c r="B179" s="403"/>
      <c r="C179" s="453"/>
      <c r="D179" s="453"/>
      <c r="E179" s="451"/>
      <c r="F179" s="451"/>
      <c r="G179" s="451"/>
      <c r="H179" s="451"/>
      <c r="I179" s="451"/>
      <c r="J179" s="450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BB179" s="87"/>
      <c r="BE179" s="87"/>
      <c r="BH179" s="87"/>
      <c r="BK179" s="87"/>
    </row>
    <row r="180" spans="1:63" ht="15.75" thickBot="1" x14ac:dyDescent="0.3">
      <c r="A180" s="245" t="str">
        <f t="shared" si="51"/>
        <v>sábado</v>
      </c>
      <c r="B180" s="403"/>
      <c r="C180" s="453"/>
      <c r="D180" s="453"/>
      <c r="E180" s="451"/>
      <c r="F180" s="451"/>
      <c r="G180" s="451"/>
      <c r="H180" s="451"/>
      <c r="I180" s="451"/>
      <c r="J180" s="450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BB180" s="87"/>
      <c r="BE180" s="87"/>
      <c r="BH180" s="87"/>
      <c r="BK180" s="87"/>
    </row>
    <row r="181" spans="1:63" ht="15.75" thickBot="1" x14ac:dyDescent="0.3">
      <c r="A181" s="245" t="str">
        <f t="shared" si="51"/>
        <v>sábado</v>
      </c>
      <c r="B181" s="403"/>
      <c r="C181" s="453"/>
      <c r="D181" s="453"/>
      <c r="E181" s="451"/>
      <c r="F181" s="451"/>
      <c r="G181" s="451"/>
      <c r="H181" s="451"/>
      <c r="I181" s="451"/>
      <c r="J181" s="450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BB181" s="87"/>
      <c r="BE181" s="87"/>
      <c r="BH181" s="87"/>
      <c r="BK181" s="87"/>
    </row>
    <row r="182" spans="1:63" ht="16.5" thickBot="1" x14ac:dyDescent="0.3">
      <c r="A182" s="245" t="str">
        <f t="shared" si="51"/>
        <v>sábado</v>
      </c>
      <c r="B182" s="403"/>
      <c r="C182" s="453"/>
      <c r="D182" s="453"/>
      <c r="E182" s="451"/>
      <c r="F182" s="451"/>
      <c r="G182" s="451"/>
      <c r="H182" s="451"/>
      <c r="I182" s="451"/>
      <c r="J182" s="450"/>
      <c r="K182" s="420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BB182" s="87"/>
      <c r="BE182" s="87"/>
      <c r="BH182" s="87"/>
      <c r="BK182" s="87"/>
    </row>
    <row r="183" spans="1:63" ht="15.75" thickBot="1" x14ac:dyDescent="0.3">
      <c r="A183" s="245" t="str">
        <f t="shared" si="51"/>
        <v>sábado</v>
      </c>
      <c r="B183" s="403"/>
      <c r="C183" s="453"/>
      <c r="D183" s="453"/>
      <c r="E183" s="451"/>
      <c r="F183" s="451"/>
      <c r="G183" s="451"/>
      <c r="H183" s="451"/>
      <c r="I183" s="451"/>
      <c r="J183" s="450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BB183" s="87"/>
      <c r="BE183" s="87"/>
      <c r="BH183" s="87"/>
      <c r="BK183" s="87"/>
    </row>
    <row r="184" spans="1:63" ht="15.75" thickBot="1" x14ac:dyDescent="0.3">
      <c r="A184" s="245" t="str">
        <f t="shared" si="51"/>
        <v>sábado</v>
      </c>
      <c r="B184" s="403"/>
      <c r="C184" s="453"/>
      <c r="D184" s="453"/>
      <c r="E184" s="451"/>
      <c r="F184" s="451"/>
      <c r="G184" s="451"/>
      <c r="H184" s="451"/>
      <c r="I184" s="451"/>
      <c r="J184" s="450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BB184" s="87"/>
      <c r="BE184" s="87"/>
      <c r="BH184" s="87"/>
      <c r="BK184" s="87"/>
    </row>
    <row r="185" spans="1:63" s="87" customFormat="1" ht="15.75" thickBot="1" x14ac:dyDescent="0.3">
      <c r="A185" s="245" t="str">
        <f t="shared" si="51"/>
        <v>sábado</v>
      </c>
      <c r="B185" s="403"/>
      <c r="C185" s="452"/>
      <c r="D185" s="451"/>
      <c r="E185" s="451"/>
      <c r="F185" s="451"/>
      <c r="G185" s="451"/>
      <c r="H185" s="451"/>
      <c r="I185" s="451"/>
      <c r="J185" s="450"/>
    </row>
    <row r="186" spans="1:63" s="122" customFormat="1" ht="15.75" thickBot="1" x14ac:dyDescent="0.3">
      <c r="A186" s="245" t="str">
        <f t="shared" si="51"/>
        <v>sábado</v>
      </c>
      <c r="B186" s="403"/>
      <c r="C186" s="450"/>
      <c r="D186" s="451"/>
      <c r="E186" s="451"/>
      <c r="F186" s="451"/>
      <c r="G186" s="451"/>
      <c r="H186" s="451"/>
      <c r="I186" s="451"/>
      <c r="J186" s="450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</row>
    <row r="187" spans="1:63" ht="15.75" thickBot="1" x14ac:dyDescent="0.3">
      <c r="A187" s="245" t="str">
        <f t="shared" si="51"/>
        <v>sábado</v>
      </c>
      <c r="B187" s="403"/>
      <c r="C187" s="453"/>
      <c r="D187" s="451"/>
      <c r="E187" s="451"/>
      <c r="F187" s="451"/>
      <c r="G187" s="451"/>
      <c r="H187" s="451"/>
      <c r="I187" s="451"/>
      <c r="J187" s="450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BB187" s="87"/>
      <c r="BE187" s="87"/>
      <c r="BH187" s="87"/>
      <c r="BK187" s="87"/>
    </row>
    <row r="188" spans="1:63" ht="15.75" thickBot="1" x14ac:dyDescent="0.3">
      <c r="A188" s="245" t="str">
        <f t="shared" si="51"/>
        <v>sábado</v>
      </c>
      <c r="B188" s="403"/>
      <c r="C188" s="453"/>
      <c r="D188" s="451"/>
      <c r="E188" s="451"/>
      <c r="F188" s="451"/>
      <c r="G188" s="451"/>
      <c r="H188" s="451"/>
      <c r="I188" s="451"/>
      <c r="J188" s="450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BB188" s="87"/>
      <c r="BE188" s="87"/>
      <c r="BH188" s="87"/>
      <c r="BK188" s="87"/>
    </row>
    <row r="189" spans="1:63" ht="15.75" thickBot="1" x14ac:dyDescent="0.3">
      <c r="A189" s="245" t="str">
        <f t="shared" si="51"/>
        <v>sábado</v>
      </c>
      <c r="B189" s="403"/>
      <c r="C189" s="453"/>
      <c r="D189" s="451"/>
      <c r="E189" s="451"/>
      <c r="F189" s="451"/>
      <c r="G189" s="451"/>
      <c r="H189" s="451"/>
      <c r="I189" s="451"/>
      <c r="J189" s="450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BB189" s="87"/>
      <c r="BE189" s="87"/>
      <c r="BH189" s="87"/>
      <c r="BK189" s="87"/>
    </row>
    <row r="190" spans="1:63" ht="15.75" thickBot="1" x14ac:dyDescent="0.3">
      <c r="A190" s="245" t="str">
        <f t="shared" si="51"/>
        <v>sábado</v>
      </c>
      <c r="B190" s="403"/>
      <c r="C190" s="453"/>
      <c r="D190" s="455"/>
      <c r="E190" s="451"/>
      <c r="F190" s="451"/>
      <c r="G190" s="451"/>
      <c r="H190" s="451"/>
      <c r="I190" s="451"/>
      <c r="J190" s="450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BB190" s="87"/>
      <c r="BE190" s="87"/>
      <c r="BH190" s="87"/>
      <c r="BK190" s="87"/>
    </row>
    <row r="191" spans="1:63" ht="15.75" thickBot="1" x14ac:dyDescent="0.3">
      <c r="A191" s="245" t="str">
        <f t="shared" si="51"/>
        <v>sábado</v>
      </c>
      <c r="B191" s="403"/>
      <c r="C191" s="453"/>
      <c r="D191" s="453"/>
      <c r="E191" s="451"/>
      <c r="F191" s="453"/>
      <c r="G191" s="451"/>
      <c r="H191" s="451"/>
      <c r="I191" s="451"/>
      <c r="J191" s="450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BB191" s="87"/>
      <c r="BE191" s="87"/>
      <c r="BH191" s="87"/>
      <c r="BK191" s="87"/>
    </row>
    <row r="192" spans="1:63" s="118" customFormat="1" ht="15.75" thickBot="1" x14ac:dyDescent="0.3">
      <c r="A192" s="245" t="str">
        <f t="shared" si="51"/>
        <v>sábado</v>
      </c>
      <c r="B192" s="403"/>
      <c r="C192" s="453"/>
      <c r="D192" s="453"/>
      <c r="E192" s="451"/>
      <c r="F192" s="451"/>
      <c r="G192" s="451"/>
      <c r="H192" s="451"/>
      <c r="I192" s="451"/>
      <c r="J192" s="450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</row>
    <row r="193" spans="1:63" s="118" customFormat="1" ht="15.75" thickBot="1" x14ac:dyDescent="0.3">
      <c r="A193" s="245" t="str">
        <f t="shared" si="51"/>
        <v>sábado</v>
      </c>
      <c r="B193" s="403"/>
      <c r="C193" s="453"/>
      <c r="D193" s="453"/>
      <c r="E193" s="451"/>
      <c r="F193" s="451"/>
      <c r="G193" s="451"/>
      <c r="H193" s="451"/>
      <c r="I193" s="451"/>
      <c r="J193" s="450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</row>
    <row r="194" spans="1:63" s="118" customFormat="1" ht="15.75" thickBot="1" x14ac:dyDescent="0.3">
      <c r="A194" s="245" t="str">
        <f t="shared" si="51"/>
        <v>sábado</v>
      </c>
      <c r="B194" s="403"/>
      <c r="C194" s="453"/>
      <c r="D194" s="453"/>
      <c r="E194" s="451"/>
      <c r="F194" s="451"/>
      <c r="G194" s="451"/>
      <c r="H194" s="451"/>
      <c r="I194" s="451"/>
      <c r="J194" s="450"/>
      <c r="K194" s="87"/>
      <c r="L194" s="43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</row>
    <row r="195" spans="1:63" s="118" customFormat="1" ht="15.75" thickBot="1" x14ac:dyDescent="0.3">
      <c r="A195" s="245" t="str">
        <f t="shared" si="51"/>
        <v>sábado</v>
      </c>
      <c r="B195" s="403"/>
      <c r="C195" s="453"/>
      <c r="D195" s="453"/>
      <c r="E195" s="451"/>
      <c r="F195" s="451"/>
      <c r="G195" s="451"/>
      <c r="H195" s="451"/>
      <c r="I195" s="451"/>
      <c r="J195" s="450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</row>
    <row r="196" spans="1:63" ht="15.75" thickBot="1" x14ac:dyDescent="0.3">
      <c r="A196" s="245" t="str">
        <f t="shared" si="51"/>
        <v>sábado</v>
      </c>
      <c r="B196" s="403"/>
      <c r="C196" s="453"/>
      <c r="D196" s="453"/>
      <c r="E196" s="451"/>
      <c r="F196" s="451"/>
      <c r="G196" s="451"/>
      <c r="H196" s="451"/>
      <c r="I196" s="451"/>
      <c r="J196" s="450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BB196" s="87"/>
      <c r="BE196" s="87"/>
      <c r="BH196" s="87"/>
      <c r="BK196" s="87"/>
    </row>
    <row r="197" spans="1:63" ht="15.75" thickBot="1" x14ac:dyDescent="0.3">
      <c r="A197" s="245" t="str">
        <f t="shared" si="51"/>
        <v>sábado</v>
      </c>
      <c r="B197" s="87"/>
      <c r="C197" s="453"/>
      <c r="D197" s="453"/>
      <c r="E197" s="451"/>
      <c r="F197" s="451"/>
      <c r="G197" s="453"/>
      <c r="H197" s="453"/>
      <c r="I197" s="453"/>
      <c r="J197" s="450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BB197" s="87"/>
      <c r="BE197" s="87"/>
      <c r="BH197" s="87"/>
      <c r="BK197" s="87"/>
    </row>
    <row r="198" spans="1:63" s="122" customFormat="1" ht="15.75" thickBot="1" x14ac:dyDescent="0.3">
      <c r="A198" s="245" t="str">
        <f t="shared" si="51"/>
        <v>sábado</v>
      </c>
      <c r="B198" s="87"/>
      <c r="C198" s="453"/>
      <c r="D198" s="453"/>
      <c r="E198" s="451"/>
      <c r="F198" s="451"/>
      <c r="G198" s="453"/>
      <c r="H198" s="453"/>
      <c r="I198" s="453"/>
      <c r="J198" s="450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</row>
    <row r="199" spans="1:63" ht="15.75" thickBot="1" x14ac:dyDescent="0.3">
      <c r="A199" s="245" t="str">
        <f t="shared" ref="A199:A262" si="52">+TEXT(B199,"dddd")</f>
        <v>sábado</v>
      </c>
      <c r="B199" s="87"/>
      <c r="C199" s="453"/>
      <c r="D199" s="453"/>
      <c r="E199" s="453"/>
      <c r="F199" s="453"/>
      <c r="G199" s="453"/>
      <c r="H199" s="453"/>
      <c r="I199" s="453"/>
      <c r="J199" s="450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BB199" s="87"/>
      <c r="BE199" s="87"/>
      <c r="BH199" s="87"/>
      <c r="BK199" s="87"/>
    </row>
    <row r="200" spans="1:63" ht="15.75" thickBot="1" x14ac:dyDescent="0.3">
      <c r="A200" s="245" t="str">
        <f t="shared" si="52"/>
        <v>sábado</v>
      </c>
      <c r="B200" s="87"/>
      <c r="C200" s="453"/>
      <c r="D200" s="453"/>
      <c r="E200" s="453"/>
      <c r="F200" s="453"/>
      <c r="G200" s="453"/>
      <c r="H200" s="453"/>
      <c r="I200" s="453"/>
      <c r="J200" s="450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BB200" s="87"/>
      <c r="BE200" s="87"/>
      <c r="BH200" s="87"/>
      <c r="BK200" s="87"/>
    </row>
    <row r="201" spans="1:63" ht="15.75" thickBot="1" x14ac:dyDescent="0.3">
      <c r="A201" s="245" t="str">
        <f t="shared" si="52"/>
        <v>sábado</v>
      </c>
      <c r="B201" s="87"/>
      <c r="C201" s="453"/>
      <c r="D201" s="453"/>
      <c r="E201" s="453"/>
      <c r="F201" s="453"/>
      <c r="G201" s="453"/>
      <c r="H201" s="453"/>
      <c r="I201" s="453"/>
      <c r="J201" s="450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BB201" s="87"/>
      <c r="BE201" s="87"/>
      <c r="BH201" s="87"/>
      <c r="BK201" s="87"/>
    </row>
    <row r="202" spans="1:63" ht="15.75" thickBot="1" x14ac:dyDescent="0.3">
      <c r="A202" s="245" t="str">
        <f t="shared" si="52"/>
        <v>sábado</v>
      </c>
      <c r="B202" s="87"/>
      <c r="C202" s="453"/>
      <c r="D202" s="453"/>
      <c r="E202" s="453"/>
      <c r="F202" s="453"/>
      <c r="G202" s="453"/>
      <c r="H202" s="453"/>
      <c r="I202" s="453"/>
      <c r="J202" s="450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BB202" s="87"/>
      <c r="BE202" s="87"/>
      <c r="BH202" s="87"/>
      <c r="BK202" s="87"/>
    </row>
    <row r="203" spans="1:63" ht="15.75" thickBot="1" x14ac:dyDescent="0.25">
      <c r="A203" s="245" t="str">
        <f t="shared" si="52"/>
        <v>sábado</v>
      </c>
      <c r="B203" s="87"/>
      <c r="C203" s="87"/>
      <c r="D203" s="87"/>
      <c r="E203" s="87"/>
      <c r="F203" s="87"/>
      <c r="G203" s="87"/>
      <c r="H203" s="87"/>
      <c r="I203" s="87"/>
      <c r="J203" s="89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BB203" s="87"/>
      <c r="BE203" s="87"/>
      <c r="BH203" s="87"/>
      <c r="BK203" s="87"/>
    </row>
    <row r="204" spans="1:63" ht="15.75" thickBot="1" x14ac:dyDescent="0.25">
      <c r="A204" s="245" t="str">
        <f t="shared" si="52"/>
        <v>sábado</v>
      </c>
      <c r="B204" s="87"/>
      <c r="C204" s="87"/>
      <c r="D204" s="87"/>
      <c r="E204" s="87"/>
      <c r="F204" s="87"/>
      <c r="G204" s="87"/>
      <c r="H204" s="87"/>
      <c r="I204" s="87"/>
      <c r="J204" s="89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BB204" s="87"/>
      <c r="BE204" s="87"/>
      <c r="BH204" s="87"/>
      <c r="BK204" s="87"/>
    </row>
    <row r="205" spans="1:63" ht="15.75" thickBot="1" x14ac:dyDescent="0.25">
      <c r="A205" s="245" t="str">
        <f t="shared" si="52"/>
        <v>sábado</v>
      </c>
      <c r="B205" s="87"/>
      <c r="C205" s="87"/>
      <c r="D205" s="87"/>
      <c r="E205" s="87"/>
      <c r="F205" s="87"/>
      <c r="G205" s="87"/>
      <c r="H205" s="87"/>
      <c r="I205" s="87"/>
      <c r="J205" s="89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BB205" s="87"/>
      <c r="BE205" s="87"/>
      <c r="BH205" s="87"/>
      <c r="BK205" s="87"/>
    </row>
    <row r="206" spans="1:63" ht="12.75" customHeight="1" thickBot="1" x14ac:dyDescent="0.25">
      <c r="A206" s="245" t="str">
        <f t="shared" si="52"/>
        <v>sábado</v>
      </c>
      <c r="B206" s="87"/>
      <c r="C206" s="87"/>
      <c r="D206" s="87"/>
      <c r="E206" s="87"/>
      <c r="F206" s="87"/>
      <c r="G206" s="87"/>
      <c r="H206" s="87"/>
      <c r="I206" s="87"/>
      <c r="J206" s="89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BB206" s="87"/>
      <c r="BE206" s="87"/>
      <c r="BH206" s="87"/>
      <c r="BK206" s="87"/>
    </row>
    <row r="207" spans="1:63" ht="15.75" thickBot="1" x14ac:dyDescent="0.25">
      <c r="A207" s="245" t="str">
        <f t="shared" si="52"/>
        <v>sábado</v>
      </c>
      <c r="B207" s="87"/>
      <c r="C207" s="87"/>
      <c r="D207" s="87"/>
      <c r="E207" s="87"/>
      <c r="F207" s="87"/>
      <c r="G207" s="87"/>
      <c r="H207" s="87"/>
      <c r="I207" s="87"/>
      <c r="J207" s="89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BB207" s="87"/>
      <c r="BE207" s="87"/>
      <c r="BH207" s="87"/>
      <c r="BK207" s="87"/>
    </row>
    <row r="208" spans="1:63" ht="15.75" thickBot="1" x14ac:dyDescent="0.25">
      <c r="A208" s="245" t="str">
        <f t="shared" si="52"/>
        <v>sábado</v>
      </c>
      <c r="B208" s="87"/>
      <c r="C208" s="87"/>
      <c r="D208" s="87"/>
      <c r="E208" s="87"/>
      <c r="F208" s="87"/>
      <c r="G208" s="87"/>
      <c r="H208" s="87"/>
      <c r="I208" s="87"/>
      <c r="J208" s="89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BB208" s="87"/>
      <c r="BE208" s="87"/>
      <c r="BH208" s="87"/>
      <c r="BK208" s="87"/>
    </row>
    <row r="209" spans="1:63" ht="15.75" thickBot="1" x14ac:dyDescent="0.25">
      <c r="A209" s="245" t="str">
        <f t="shared" si="52"/>
        <v>sábado</v>
      </c>
      <c r="B209" s="87"/>
      <c r="C209" s="87"/>
      <c r="D209" s="87"/>
      <c r="E209" s="87"/>
      <c r="F209" s="87"/>
      <c r="G209" s="87"/>
      <c r="H209" s="87"/>
      <c r="I209" s="87"/>
      <c r="J209" s="89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BB209" s="87"/>
      <c r="BE209" s="87"/>
      <c r="BH209" s="87"/>
      <c r="BK209" s="87"/>
    </row>
    <row r="210" spans="1:63" ht="15.75" thickBot="1" x14ac:dyDescent="0.25">
      <c r="A210" s="245" t="str">
        <f t="shared" si="52"/>
        <v>sábado</v>
      </c>
      <c r="B210" s="87"/>
      <c r="C210" s="87"/>
      <c r="D210" s="87"/>
      <c r="E210" s="87"/>
      <c r="F210" s="87"/>
      <c r="G210" s="87"/>
      <c r="H210" s="87"/>
      <c r="I210" s="87"/>
      <c r="J210" s="89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BB210" s="87"/>
      <c r="BE210" s="87"/>
      <c r="BH210" s="87"/>
      <c r="BK210" s="87"/>
    </row>
    <row r="211" spans="1:63" ht="15.75" thickBot="1" x14ac:dyDescent="0.25">
      <c r="A211" s="245" t="str">
        <f t="shared" si="52"/>
        <v>sábado</v>
      </c>
      <c r="B211" s="87"/>
      <c r="C211" s="87"/>
      <c r="D211" s="87"/>
      <c r="E211" s="87"/>
      <c r="F211" s="87"/>
      <c r="G211" s="87"/>
      <c r="H211" s="87"/>
      <c r="I211" s="87"/>
      <c r="J211" s="89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BB211" s="87"/>
      <c r="BE211" s="87"/>
      <c r="BH211" s="87"/>
      <c r="BK211" s="87"/>
    </row>
    <row r="212" spans="1:63" ht="15.75" thickBot="1" x14ac:dyDescent="0.25">
      <c r="A212" s="245" t="str">
        <f t="shared" si="52"/>
        <v>sábado</v>
      </c>
      <c r="B212" s="87"/>
      <c r="C212" s="87"/>
      <c r="D212" s="87"/>
      <c r="E212" s="87"/>
      <c r="F212" s="87"/>
      <c r="G212" s="87"/>
      <c r="H212" s="87"/>
      <c r="I212" s="87"/>
      <c r="J212" s="89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BB212" s="87"/>
      <c r="BE212" s="87"/>
      <c r="BH212" s="87"/>
      <c r="BK212" s="87"/>
    </row>
    <row r="213" spans="1:63" ht="15.75" thickBot="1" x14ac:dyDescent="0.25">
      <c r="A213" s="245" t="str">
        <f t="shared" si="52"/>
        <v>sábado</v>
      </c>
      <c r="B213" s="87"/>
      <c r="C213" s="87"/>
      <c r="D213" s="87"/>
      <c r="E213" s="87"/>
      <c r="F213" s="87"/>
      <c r="G213" s="87"/>
      <c r="H213" s="87"/>
      <c r="I213" s="87"/>
      <c r="J213" s="89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BB213" s="87"/>
      <c r="BE213" s="87"/>
      <c r="BH213" s="87"/>
      <c r="BK213" s="87"/>
    </row>
    <row r="214" spans="1:63" ht="15.75" thickBot="1" x14ac:dyDescent="0.25">
      <c r="A214" s="245" t="str">
        <f t="shared" si="52"/>
        <v>sábado</v>
      </c>
      <c r="B214" s="87"/>
      <c r="C214" s="87"/>
      <c r="D214" s="87"/>
      <c r="E214" s="87"/>
      <c r="F214" s="87"/>
      <c r="G214" s="87"/>
      <c r="H214" s="87"/>
      <c r="I214" s="87"/>
      <c r="J214" s="89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BB214" s="87"/>
      <c r="BE214" s="87"/>
      <c r="BH214" s="87"/>
      <c r="BK214" s="87"/>
    </row>
    <row r="215" spans="1:63" ht="15.75" thickBot="1" x14ac:dyDescent="0.25">
      <c r="A215" s="245" t="str">
        <f t="shared" si="52"/>
        <v>sábado</v>
      </c>
      <c r="B215" s="87"/>
      <c r="C215" s="87"/>
      <c r="D215" s="87"/>
      <c r="E215" s="87"/>
      <c r="F215" s="87"/>
      <c r="G215" s="87"/>
      <c r="H215" s="87"/>
      <c r="I215" s="87"/>
      <c r="J215" s="89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BB215" s="87"/>
      <c r="BE215" s="87"/>
      <c r="BH215" s="87"/>
      <c r="BK215" s="87"/>
    </row>
    <row r="216" spans="1:63" ht="15.75" thickBot="1" x14ac:dyDescent="0.25">
      <c r="A216" s="245" t="str">
        <f t="shared" si="52"/>
        <v>sábado</v>
      </c>
      <c r="B216" s="87"/>
      <c r="C216" s="87"/>
      <c r="D216" s="87"/>
      <c r="E216" s="87"/>
      <c r="F216" s="87"/>
      <c r="G216" s="87"/>
      <c r="H216" s="87"/>
      <c r="I216" s="87"/>
      <c r="J216" s="89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BB216" s="87"/>
      <c r="BE216" s="87"/>
      <c r="BH216" s="87"/>
      <c r="BK216" s="87"/>
    </row>
    <row r="217" spans="1:63" ht="15.75" thickBot="1" x14ac:dyDescent="0.25">
      <c r="A217" s="245" t="str">
        <f t="shared" si="52"/>
        <v>sábado</v>
      </c>
      <c r="B217" s="87"/>
      <c r="C217" s="87"/>
      <c r="D217" s="87"/>
      <c r="E217" s="87"/>
      <c r="F217" s="87"/>
      <c r="G217" s="87"/>
      <c r="H217" s="87"/>
      <c r="I217" s="87"/>
      <c r="J217" s="89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BB217" s="87"/>
      <c r="BE217" s="87"/>
      <c r="BH217" s="87"/>
      <c r="BK217" s="87"/>
    </row>
    <row r="218" spans="1:63" ht="15.75" thickBot="1" x14ac:dyDescent="0.25">
      <c r="A218" s="245" t="str">
        <f t="shared" si="52"/>
        <v>sábado</v>
      </c>
      <c r="B218" s="87"/>
      <c r="C218" s="87"/>
      <c r="D218" s="87"/>
      <c r="E218" s="87"/>
      <c r="F218" s="87"/>
      <c r="G218" s="87"/>
      <c r="H218" s="87"/>
      <c r="I218" s="87"/>
      <c r="J218" s="89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BB218" s="87"/>
      <c r="BE218" s="87"/>
      <c r="BH218" s="87"/>
      <c r="BK218" s="87"/>
    </row>
    <row r="219" spans="1:63" ht="15.75" thickBot="1" x14ac:dyDescent="0.25">
      <c r="A219" s="245" t="str">
        <f t="shared" si="52"/>
        <v>sábado</v>
      </c>
      <c r="B219" s="87"/>
      <c r="C219" s="87"/>
      <c r="D219" s="87"/>
      <c r="E219" s="87"/>
      <c r="F219" s="87"/>
      <c r="G219" s="87"/>
      <c r="H219" s="87"/>
      <c r="I219" s="87"/>
      <c r="J219" s="89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BB219" s="87"/>
      <c r="BE219" s="87"/>
      <c r="BH219" s="87"/>
      <c r="BK219" s="87"/>
    </row>
    <row r="220" spans="1:63" ht="15.75" thickBot="1" x14ac:dyDescent="0.25">
      <c r="A220" s="245" t="str">
        <f t="shared" si="52"/>
        <v>sábado</v>
      </c>
      <c r="B220" s="87"/>
      <c r="C220" s="87"/>
      <c r="D220" s="87"/>
      <c r="E220" s="87"/>
      <c r="F220" s="87"/>
      <c r="G220" s="87"/>
      <c r="H220" s="87"/>
      <c r="I220" s="87"/>
      <c r="J220" s="89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BB220" s="87"/>
      <c r="BE220" s="87"/>
      <c r="BH220" s="87"/>
      <c r="BK220" s="87"/>
    </row>
    <row r="221" spans="1:63" ht="15.75" thickBot="1" x14ac:dyDescent="0.25">
      <c r="A221" s="245" t="str">
        <f t="shared" si="52"/>
        <v>sábado</v>
      </c>
      <c r="B221" s="87"/>
      <c r="C221" s="87"/>
      <c r="D221" s="87"/>
      <c r="E221" s="87"/>
      <c r="F221" s="87"/>
      <c r="G221" s="87"/>
      <c r="H221" s="87"/>
      <c r="I221" s="87"/>
      <c r="J221" s="89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BB221" s="87"/>
      <c r="BE221" s="87"/>
      <c r="BH221" s="87"/>
      <c r="BK221" s="87"/>
    </row>
    <row r="222" spans="1:63" ht="15.75" thickBot="1" x14ac:dyDescent="0.25">
      <c r="A222" s="245" t="str">
        <f t="shared" si="52"/>
        <v>sábado</v>
      </c>
      <c r="B222" s="87"/>
      <c r="C222" s="87"/>
      <c r="D222" s="87"/>
      <c r="E222" s="87"/>
      <c r="F222" s="87"/>
      <c r="G222" s="87"/>
      <c r="H222" s="87"/>
      <c r="I222" s="87"/>
      <c r="J222" s="89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BB222" s="87"/>
      <c r="BE222" s="87"/>
      <c r="BH222" s="87"/>
      <c r="BK222" s="87"/>
    </row>
    <row r="223" spans="1:63" ht="15.75" thickBot="1" x14ac:dyDescent="0.25">
      <c r="A223" s="245" t="str">
        <f t="shared" si="52"/>
        <v>sábado</v>
      </c>
      <c r="B223" s="87"/>
      <c r="C223" s="87"/>
      <c r="D223" s="87"/>
      <c r="E223" s="87"/>
      <c r="F223" s="87"/>
      <c r="G223" s="87"/>
      <c r="H223" s="87"/>
      <c r="I223" s="87"/>
      <c r="J223" s="89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BB223" s="87"/>
      <c r="BE223" s="87"/>
      <c r="BH223" s="87"/>
      <c r="BK223" s="87"/>
    </row>
    <row r="224" spans="1:63" ht="15.75" thickBot="1" x14ac:dyDescent="0.25">
      <c r="A224" s="245" t="str">
        <f t="shared" si="52"/>
        <v>sábado</v>
      </c>
      <c r="B224" s="87"/>
      <c r="C224" s="87"/>
      <c r="D224" s="87"/>
      <c r="E224" s="87"/>
      <c r="F224" s="87"/>
      <c r="G224" s="87"/>
      <c r="H224" s="87"/>
      <c r="I224" s="87"/>
      <c r="J224" s="89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BB224" s="87"/>
      <c r="BE224" s="87"/>
      <c r="BH224" s="87"/>
      <c r="BK224" s="87"/>
    </row>
    <row r="225" spans="1:63" ht="15.75" thickBot="1" x14ac:dyDescent="0.25">
      <c r="A225" s="245" t="str">
        <f t="shared" si="52"/>
        <v>sábado</v>
      </c>
      <c r="B225" s="87"/>
      <c r="C225" s="87"/>
      <c r="D225" s="87"/>
      <c r="E225" s="87"/>
      <c r="F225" s="87"/>
      <c r="G225" s="87"/>
      <c r="H225" s="87"/>
      <c r="I225" s="87"/>
      <c r="J225" s="89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BB225" s="87"/>
      <c r="BE225" s="87"/>
      <c r="BH225" s="87"/>
      <c r="BK225" s="87"/>
    </row>
    <row r="226" spans="1:63" ht="15.75" thickBot="1" x14ac:dyDescent="0.25">
      <c r="A226" s="245" t="str">
        <f t="shared" si="52"/>
        <v>sábado</v>
      </c>
      <c r="B226" s="87"/>
      <c r="C226" s="87"/>
      <c r="D226" s="87"/>
      <c r="E226" s="87"/>
      <c r="F226" s="87"/>
      <c r="G226" s="87"/>
      <c r="H226" s="87"/>
      <c r="I226" s="87"/>
      <c r="J226" s="89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BB226" s="87"/>
      <c r="BE226" s="87"/>
      <c r="BH226" s="87"/>
      <c r="BK226" s="87"/>
    </row>
    <row r="227" spans="1:63" ht="15.75" thickBot="1" x14ac:dyDescent="0.25">
      <c r="A227" s="245" t="str">
        <f t="shared" si="52"/>
        <v>sábado</v>
      </c>
      <c r="B227" s="87"/>
      <c r="C227" s="87"/>
      <c r="D227" s="87"/>
      <c r="E227" s="87"/>
      <c r="F227" s="87"/>
      <c r="G227" s="87"/>
      <c r="H227" s="87"/>
      <c r="I227" s="87"/>
      <c r="J227" s="89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BB227" s="87"/>
      <c r="BE227" s="87"/>
      <c r="BH227" s="87"/>
      <c r="BK227" s="87"/>
    </row>
    <row r="228" spans="1:63" ht="15.75" thickBot="1" x14ac:dyDescent="0.25">
      <c r="A228" s="245" t="str">
        <f t="shared" si="52"/>
        <v>sábado</v>
      </c>
      <c r="B228" s="87"/>
      <c r="C228" s="87"/>
      <c r="D228" s="87"/>
      <c r="E228" s="87"/>
      <c r="F228" s="87"/>
      <c r="G228" s="87"/>
      <c r="H228" s="87"/>
      <c r="I228" s="87"/>
      <c r="J228" s="89"/>
      <c r="K228" s="87"/>
      <c r="L228" s="87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</row>
    <row r="229" spans="1:63" ht="15.75" thickBot="1" x14ac:dyDescent="0.25">
      <c r="A229" s="245" t="str">
        <f t="shared" si="52"/>
        <v>sábado</v>
      </c>
      <c r="B229" s="87"/>
      <c r="C229" s="87"/>
      <c r="D229" s="87"/>
      <c r="E229" s="87"/>
      <c r="F229" s="87"/>
      <c r="G229" s="87"/>
      <c r="H229" s="87"/>
      <c r="I229" s="87"/>
      <c r="J229" s="89"/>
      <c r="K229" s="87"/>
      <c r="L229" s="87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</row>
    <row r="230" spans="1:63" ht="15.75" thickBot="1" x14ac:dyDescent="0.25">
      <c r="A230" s="245" t="str">
        <f t="shared" si="52"/>
        <v>sábado</v>
      </c>
      <c r="B230" s="87"/>
      <c r="C230" s="87"/>
      <c r="D230" s="87"/>
      <c r="E230" s="87"/>
      <c r="F230" s="87"/>
      <c r="G230" s="87"/>
      <c r="H230" s="87"/>
      <c r="I230" s="87"/>
      <c r="J230" s="89"/>
      <c r="K230" s="87"/>
      <c r="L230" s="87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</row>
    <row r="231" spans="1:63" ht="15.75" thickBot="1" x14ac:dyDescent="0.25">
      <c r="A231" s="245" t="str">
        <f t="shared" si="52"/>
        <v>sábado</v>
      </c>
      <c r="B231" s="87"/>
      <c r="C231" s="87"/>
      <c r="D231" s="87"/>
      <c r="E231" s="87"/>
      <c r="F231" s="87"/>
      <c r="G231" s="87"/>
      <c r="H231" s="87"/>
      <c r="I231" s="87"/>
      <c r="J231" s="89"/>
      <c r="K231" s="87"/>
      <c r="L231" s="87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</row>
    <row r="232" spans="1:63" ht="15.75" thickBot="1" x14ac:dyDescent="0.25">
      <c r="A232" s="245" t="str">
        <f t="shared" si="52"/>
        <v>sábado</v>
      </c>
      <c r="B232" s="87"/>
      <c r="C232" s="87"/>
      <c r="D232" s="87"/>
      <c r="E232" s="87"/>
      <c r="F232" s="87"/>
      <c r="G232" s="87"/>
      <c r="H232" s="87"/>
      <c r="I232" s="87"/>
      <c r="J232" s="89"/>
      <c r="K232" s="87"/>
      <c r="L232" s="87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</row>
    <row r="233" spans="1:63" ht="15.75" thickBot="1" x14ac:dyDescent="0.25">
      <c r="A233" s="245" t="str">
        <f t="shared" si="52"/>
        <v>sábado</v>
      </c>
      <c r="B233" s="87"/>
      <c r="C233" s="87"/>
      <c r="D233" s="87"/>
      <c r="E233" s="87"/>
      <c r="F233" s="87"/>
      <c r="G233" s="87"/>
      <c r="H233" s="87"/>
      <c r="I233" s="87"/>
      <c r="J233" s="89"/>
      <c r="K233" s="87"/>
      <c r="L233" s="87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</row>
    <row r="234" spans="1:63" ht="15.75" thickBot="1" x14ac:dyDescent="0.25">
      <c r="A234" s="245" t="str">
        <f t="shared" si="52"/>
        <v>sábado</v>
      </c>
      <c r="B234" s="87"/>
      <c r="C234" s="87"/>
      <c r="D234" s="87"/>
      <c r="E234" s="87"/>
      <c r="F234" s="87"/>
      <c r="G234" s="87"/>
      <c r="H234" s="87"/>
      <c r="I234" s="87"/>
      <c r="J234" s="89"/>
      <c r="K234" s="87"/>
      <c r="L234" s="87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</row>
    <row r="235" spans="1:63" ht="15.75" thickBot="1" x14ac:dyDescent="0.25">
      <c r="A235" s="245" t="str">
        <f t="shared" si="52"/>
        <v>sábado</v>
      </c>
      <c r="B235" s="87"/>
      <c r="C235" s="87"/>
      <c r="D235" s="87"/>
      <c r="E235" s="87"/>
      <c r="F235" s="87"/>
      <c r="G235" s="87"/>
      <c r="H235" s="87"/>
      <c r="I235" s="87"/>
      <c r="J235" s="89"/>
      <c r="K235" s="87"/>
      <c r="L235" s="87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</row>
    <row r="236" spans="1:63" ht="15.75" thickBot="1" x14ac:dyDescent="0.25">
      <c r="A236" s="245" t="str">
        <f t="shared" si="52"/>
        <v>sábado</v>
      </c>
      <c r="B236" s="87"/>
      <c r="C236" s="87"/>
      <c r="D236" s="87"/>
      <c r="E236" s="87"/>
      <c r="F236" s="87"/>
      <c r="G236" s="87"/>
      <c r="H236" s="87"/>
      <c r="I236" s="87"/>
      <c r="J236" s="89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</row>
    <row r="237" spans="1:63" ht="15.75" thickBot="1" x14ac:dyDescent="0.25">
      <c r="A237" s="245" t="str">
        <f t="shared" si="52"/>
        <v>sábado</v>
      </c>
      <c r="B237" s="87"/>
      <c r="C237" s="87"/>
      <c r="D237" s="87"/>
      <c r="E237" s="87"/>
      <c r="F237" s="87"/>
      <c r="G237" s="87"/>
      <c r="H237" s="87"/>
      <c r="I237" s="87"/>
      <c r="J237" s="89"/>
      <c r="K237" s="87"/>
      <c r="L237" s="87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</row>
    <row r="238" spans="1:63" ht="15.75" thickBot="1" x14ac:dyDescent="0.25">
      <c r="A238" s="245" t="str">
        <f t="shared" si="52"/>
        <v>sábado</v>
      </c>
      <c r="B238" s="87"/>
      <c r="C238" s="87"/>
      <c r="D238" s="87"/>
      <c r="E238" s="87"/>
      <c r="F238" s="87"/>
      <c r="G238" s="87"/>
      <c r="H238" s="87"/>
      <c r="I238" s="87"/>
      <c r="J238" s="89"/>
      <c r="K238" s="87"/>
      <c r="L238" s="87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</row>
    <row r="239" spans="1:63" ht="15.75" thickBot="1" x14ac:dyDescent="0.25">
      <c r="A239" s="245" t="str">
        <f t="shared" si="52"/>
        <v>sábado</v>
      </c>
      <c r="B239" s="87"/>
      <c r="C239" s="87"/>
      <c r="D239" s="87"/>
      <c r="E239" s="87"/>
      <c r="F239" s="87"/>
      <c r="G239" s="87"/>
      <c r="H239" s="87"/>
      <c r="I239" s="87"/>
      <c r="J239" s="89"/>
      <c r="K239" s="87"/>
      <c r="L239" s="87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</row>
    <row r="240" spans="1:63" ht="15.75" thickBot="1" x14ac:dyDescent="0.25">
      <c r="A240" s="245" t="str">
        <f t="shared" si="52"/>
        <v>sábado</v>
      </c>
      <c r="B240" s="87"/>
      <c r="C240" s="87"/>
      <c r="D240" s="87"/>
      <c r="E240" s="87"/>
      <c r="F240" s="87"/>
      <c r="G240" s="87"/>
      <c r="H240" s="87"/>
      <c r="I240" s="87"/>
      <c r="J240" s="89"/>
      <c r="K240" s="87"/>
      <c r="L240" s="87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</row>
    <row r="241" spans="1:63" ht="15.75" thickBot="1" x14ac:dyDescent="0.25">
      <c r="A241" s="245" t="str">
        <f t="shared" si="52"/>
        <v>sábado</v>
      </c>
      <c r="B241" s="87"/>
      <c r="C241" s="87"/>
      <c r="D241" s="87"/>
      <c r="E241" s="87"/>
      <c r="F241" s="87"/>
      <c r="G241" s="87"/>
      <c r="H241" s="87"/>
      <c r="I241" s="87"/>
      <c r="J241" s="89"/>
      <c r="K241" s="87"/>
      <c r="L241" s="87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</row>
    <row r="242" spans="1:63" ht="15.75" thickBot="1" x14ac:dyDescent="0.25">
      <c r="A242" s="245" t="str">
        <f t="shared" si="52"/>
        <v>sábado</v>
      </c>
      <c r="B242" s="87"/>
      <c r="C242" s="87"/>
      <c r="D242" s="87"/>
      <c r="E242" s="87"/>
      <c r="F242" s="87"/>
      <c r="G242" s="87"/>
      <c r="H242" s="87"/>
      <c r="I242" s="87"/>
      <c r="J242" s="89"/>
      <c r="K242" s="87"/>
      <c r="L242" s="87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</row>
    <row r="243" spans="1:63" ht="15.75" thickBot="1" x14ac:dyDescent="0.25">
      <c r="A243" s="245" t="str">
        <f t="shared" si="52"/>
        <v>sábado</v>
      </c>
      <c r="B243" s="87"/>
      <c r="C243" s="87"/>
      <c r="D243" s="87"/>
      <c r="E243" s="87"/>
      <c r="F243" s="87"/>
      <c r="G243" s="87"/>
      <c r="H243" s="87"/>
      <c r="I243" s="87"/>
      <c r="J243" s="89"/>
      <c r="K243" s="87"/>
      <c r="L243" s="87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</row>
    <row r="244" spans="1:63" ht="15.75" thickBot="1" x14ac:dyDescent="0.25">
      <c r="A244" s="245" t="str">
        <f t="shared" si="52"/>
        <v>sábado</v>
      </c>
      <c r="B244" s="87"/>
      <c r="C244" s="87"/>
      <c r="D244" s="87"/>
      <c r="E244" s="87"/>
      <c r="F244" s="87"/>
      <c r="G244" s="87"/>
      <c r="H244" s="87"/>
      <c r="I244" s="87"/>
      <c r="J244" s="89"/>
      <c r="K244" s="87"/>
      <c r="L244" s="87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</row>
    <row r="245" spans="1:63" ht="15.75" thickBot="1" x14ac:dyDescent="0.25">
      <c r="A245" s="245" t="str">
        <f t="shared" si="52"/>
        <v>sábado</v>
      </c>
      <c r="B245" s="87"/>
      <c r="C245" s="87"/>
      <c r="D245" s="87"/>
      <c r="E245" s="87"/>
      <c r="F245" s="87"/>
      <c r="G245" s="87"/>
      <c r="H245" s="87"/>
      <c r="I245" s="87"/>
      <c r="J245" s="89"/>
      <c r="K245" s="87"/>
      <c r="L245" s="87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104"/>
    </row>
    <row r="246" spans="1:63" ht="15.75" thickBot="1" x14ac:dyDescent="0.25">
      <c r="A246" s="245" t="str">
        <f t="shared" si="52"/>
        <v>sábado</v>
      </c>
      <c r="B246" s="87"/>
      <c r="C246" s="87"/>
      <c r="D246" s="87"/>
      <c r="E246" s="87"/>
      <c r="F246" s="87"/>
      <c r="G246" s="87"/>
      <c r="H246" s="87"/>
      <c r="I246" s="87"/>
      <c r="J246" s="89"/>
      <c r="K246" s="87"/>
      <c r="L246" s="87"/>
      <c r="BB246" s="47"/>
      <c r="BE246" s="47"/>
      <c r="BH246" s="47"/>
    </row>
    <row r="247" spans="1:63" ht="15.75" thickBot="1" x14ac:dyDescent="0.25">
      <c r="A247" s="245" t="str">
        <f t="shared" si="52"/>
        <v>sábado</v>
      </c>
      <c r="B247" s="87"/>
      <c r="C247" s="87"/>
      <c r="D247" s="87"/>
      <c r="E247" s="87"/>
      <c r="F247" s="87"/>
      <c r="G247" s="87"/>
      <c r="H247" s="87"/>
      <c r="I247" s="87"/>
      <c r="J247" s="89"/>
      <c r="K247" s="87"/>
      <c r="L247" s="87"/>
    </row>
    <row r="248" spans="1:63" ht="15.75" thickBot="1" x14ac:dyDescent="0.25">
      <c r="A248" s="245" t="str">
        <f t="shared" si="52"/>
        <v>sábado</v>
      </c>
      <c r="B248" s="87"/>
      <c r="C248" s="87"/>
      <c r="D248" s="87"/>
      <c r="E248" s="87"/>
      <c r="F248" s="87"/>
      <c r="G248" s="87"/>
      <c r="H248" s="87"/>
      <c r="I248" s="87"/>
      <c r="J248" s="89"/>
      <c r="K248" s="87"/>
      <c r="L248" s="87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BH248" s="8"/>
    </row>
    <row r="249" spans="1:63" ht="15.75" thickBot="1" x14ac:dyDescent="0.25">
      <c r="A249" s="245" t="str">
        <f t="shared" si="52"/>
        <v>sábado</v>
      </c>
      <c r="B249" s="87"/>
      <c r="C249" s="87"/>
      <c r="D249" s="87"/>
      <c r="E249" s="87"/>
      <c r="F249" s="87"/>
      <c r="G249" s="87"/>
      <c r="H249" s="87"/>
      <c r="I249" s="87"/>
      <c r="J249" s="89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</row>
    <row r="250" spans="1:63" ht="15.75" thickBot="1" x14ac:dyDescent="0.25">
      <c r="A250" s="245" t="str">
        <f t="shared" si="52"/>
        <v>sábado</v>
      </c>
      <c r="B250" s="87"/>
      <c r="C250" s="87"/>
      <c r="D250" s="87"/>
      <c r="E250" s="87"/>
      <c r="F250" s="87"/>
      <c r="G250" s="87"/>
      <c r="H250" s="87"/>
      <c r="I250" s="87"/>
      <c r="J250" s="89"/>
      <c r="K250" s="87"/>
      <c r="L250" s="87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</row>
    <row r="251" spans="1:63" ht="15.75" thickBot="1" x14ac:dyDescent="0.25">
      <c r="A251" s="245" t="str">
        <f t="shared" si="52"/>
        <v>sábado</v>
      </c>
      <c r="B251" s="87"/>
      <c r="C251" s="87"/>
      <c r="D251" s="87"/>
      <c r="E251" s="87"/>
      <c r="F251" s="87"/>
      <c r="G251" s="87"/>
      <c r="H251" s="87"/>
      <c r="I251" s="87"/>
      <c r="J251" s="89"/>
      <c r="K251" s="87"/>
      <c r="L251" s="87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</row>
    <row r="252" spans="1:63" ht="15.75" thickBot="1" x14ac:dyDescent="0.25">
      <c r="A252" s="245" t="str">
        <f t="shared" si="52"/>
        <v>sábado</v>
      </c>
      <c r="B252" s="87"/>
      <c r="C252" s="87"/>
      <c r="D252" s="87"/>
      <c r="E252" s="87"/>
      <c r="F252" s="87"/>
      <c r="G252" s="87"/>
      <c r="H252" s="87"/>
      <c r="I252" s="87"/>
      <c r="J252" s="89"/>
      <c r="K252" s="87"/>
      <c r="L252" s="87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</row>
    <row r="253" spans="1:63" ht="15.75" thickBot="1" x14ac:dyDescent="0.25">
      <c r="A253" s="245" t="str">
        <f t="shared" si="52"/>
        <v>sábado</v>
      </c>
      <c r="B253" s="87"/>
      <c r="C253" s="87"/>
      <c r="D253" s="87"/>
      <c r="E253" s="87"/>
      <c r="F253" s="87"/>
      <c r="G253" s="87"/>
      <c r="H253" s="87"/>
      <c r="I253" s="87"/>
      <c r="J253" s="89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</row>
    <row r="254" spans="1:63" ht="15.75" thickBot="1" x14ac:dyDescent="0.25">
      <c r="A254" s="245" t="str">
        <f t="shared" si="52"/>
        <v>sábado</v>
      </c>
      <c r="B254" s="87"/>
      <c r="C254" s="87"/>
      <c r="D254" s="87"/>
      <c r="E254" s="87"/>
      <c r="F254" s="87"/>
      <c r="G254" s="87"/>
      <c r="H254" s="87"/>
      <c r="I254" s="87"/>
      <c r="J254" s="89"/>
      <c r="K254" s="87"/>
      <c r="L254" s="87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89"/>
      <c r="BA254" s="89"/>
    </row>
    <row r="255" spans="1:63" ht="15.75" thickBot="1" x14ac:dyDescent="0.25">
      <c r="A255" s="245" t="str">
        <f t="shared" si="52"/>
        <v>sábado</v>
      </c>
      <c r="B255" s="87"/>
      <c r="C255" s="87"/>
      <c r="D255" s="87"/>
      <c r="E255" s="87"/>
      <c r="F255" s="87"/>
      <c r="G255" s="87"/>
      <c r="H255" s="87"/>
      <c r="I255" s="87"/>
      <c r="J255" s="89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</row>
    <row r="256" spans="1:63" ht="15.75" thickBot="1" x14ac:dyDescent="0.25">
      <c r="A256" s="245" t="str">
        <f t="shared" si="52"/>
        <v>sábado</v>
      </c>
      <c r="B256" s="87"/>
      <c r="C256" s="87"/>
      <c r="D256" s="87"/>
      <c r="E256" s="87"/>
      <c r="F256" s="87"/>
      <c r="G256" s="87"/>
      <c r="H256" s="87"/>
      <c r="I256" s="87"/>
      <c r="J256" s="89"/>
      <c r="K256" s="87"/>
      <c r="L256" s="87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</row>
    <row r="257" spans="1:51" ht="15.75" thickBot="1" x14ac:dyDescent="0.25">
      <c r="A257" s="245" t="str">
        <f t="shared" si="52"/>
        <v>sábado</v>
      </c>
      <c r="B257" s="87"/>
      <c r="C257" s="87"/>
      <c r="D257" s="87"/>
      <c r="E257" s="87"/>
      <c r="F257" s="87"/>
      <c r="G257" s="87"/>
      <c r="H257" s="87"/>
      <c r="I257" s="87"/>
      <c r="J257" s="89"/>
      <c r="K257" s="87"/>
      <c r="L257" s="87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</row>
    <row r="258" spans="1:51" ht="15.75" thickBot="1" x14ac:dyDescent="0.25">
      <c r="A258" s="245" t="str">
        <f t="shared" si="52"/>
        <v>sábado</v>
      </c>
      <c r="B258" s="87"/>
      <c r="C258" s="87"/>
      <c r="D258" s="87"/>
      <c r="E258" s="87"/>
      <c r="F258" s="87"/>
      <c r="G258" s="87"/>
      <c r="H258" s="87"/>
      <c r="I258" s="87"/>
      <c r="J258" s="89"/>
      <c r="K258" s="87"/>
      <c r="L258" s="87"/>
    </row>
    <row r="259" spans="1:51" ht="15.75" thickBot="1" x14ac:dyDescent="0.25">
      <c r="A259" s="245" t="str">
        <f t="shared" si="52"/>
        <v>sábado</v>
      </c>
      <c r="B259" s="87"/>
      <c r="C259" s="87"/>
      <c r="D259" s="87"/>
      <c r="E259" s="87"/>
      <c r="F259" s="87"/>
      <c r="G259" s="87"/>
      <c r="H259" s="87"/>
      <c r="I259" s="87"/>
      <c r="J259" s="89"/>
      <c r="K259" s="87"/>
      <c r="L259" s="87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</row>
    <row r="260" spans="1:51" ht="15.75" thickBot="1" x14ac:dyDescent="0.25">
      <c r="A260" s="245" t="str">
        <f t="shared" si="52"/>
        <v>sábado</v>
      </c>
      <c r="B260" s="87"/>
      <c r="C260" s="87"/>
      <c r="D260" s="87"/>
      <c r="E260" s="87"/>
      <c r="F260" s="87"/>
      <c r="G260" s="87"/>
      <c r="H260" s="87"/>
      <c r="I260" s="87"/>
      <c r="J260" s="89"/>
      <c r="K260" s="87"/>
      <c r="L260" s="87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</row>
    <row r="261" spans="1:51" ht="15.75" thickBot="1" x14ac:dyDescent="0.25">
      <c r="A261" s="245" t="str">
        <f t="shared" si="52"/>
        <v>sábado</v>
      </c>
      <c r="B261" s="87"/>
      <c r="C261" s="87"/>
      <c r="D261" s="87"/>
      <c r="E261" s="87"/>
      <c r="F261" s="87"/>
      <c r="G261" s="87"/>
      <c r="H261" s="87"/>
      <c r="I261" s="87"/>
      <c r="J261" s="89"/>
      <c r="K261" s="87"/>
      <c r="L261" s="87"/>
    </row>
    <row r="262" spans="1:51" ht="15.75" thickBot="1" x14ac:dyDescent="0.25">
      <c r="A262" s="245" t="str">
        <f t="shared" si="52"/>
        <v>sábado</v>
      </c>
      <c r="B262" s="87"/>
      <c r="C262" s="87"/>
      <c r="D262" s="87"/>
      <c r="E262" s="87"/>
      <c r="F262" s="87"/>
      <c r="G262" s="87"/>
      <c r="H262" s="87"/>
      <c r="I262" s="87"/>
      <c r="J262" s="89"/>
      <c r="K262" s="87"/>
      <c r="L262" s="87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</row>
    <row r="263" spans="1:51" ht="15.75" thickBot="1" x14ac:dyDescent="0.25">
      <c r="A263" s="245" t="str">
        <f t="shared" ref="A263:A326" si="53">+TEXT(B263,"dddd")</f>
        <v>sábado</v>
      </c>
      <c r="B263" s="87"/>
      <c r="C263" s="87"/>
      <c r="D263" s="87"/>
      <c r="E263" s="87"/>
      <c r="F263" s="87"/>
      <c r="G263" s="87"/>
      <c r="H263" s="87"/>
      <c r="I263" s="87"/>
      <c r="J263" s="89"/>
      <c r="K263" s="87"/>
      <c r="L263" s="87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</row>
    <row r="264" spans="1:51" ht="15.75" thickBot="1" x14ac:dyDescent="0.25">
      <c r="A264" s="245" t="str">
        <f t="shared" si="53"/>
        <v>sábado</v>
      </c>
      <c r="B264" s="87"/>
      <c r="C264" s="87"/>
      <c r="D264" s="87"/>
      <c r="E264" s="87"/>
      <c r="F264" s="87"/>
      <c r="G264" s="87"/>
      <c r="H264" s="87"/>
      <c r="I264" s="87"/>
      <c r="J264" s="89"/>
      <c r="K264" s="87"/>
      <c r="L264" s="87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</row>
    <row r="265" spans="1:51" ht="15.75" thickBot="1" x14ac:dyDescent="0.25">
      <c r="A265" s="245" t="str">
        <f t="shared" si="53"/>
        <v>sábado</v>
      </c>
      <c r="B265" s="87"/>
      <c r="C265" s="87"/>
      <c r="D265" s="87"/>
      <c r="E265" s="87"/>
      <c r="F265" s="87"/>
      <c r="G265" s="87"/>
      <c r="H265" s="87"/>
      <c r="I265" s="87"/>
      <c r="J265" s="89"/>
      <c r="K265" s="87"/>
      <c r="L265" s="87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</row>
    <row r="266" spans="1:51" ht="15.75" thickBot="1" x14ac:dyDescent="0.25">
      <c r="A266" s="245" t="str">
        <f t="shared" si="53"/>
        <v>sábado</v>
      </c>
      <c r="B266" s="87"/>
      <c r="C266" s="87"/>
      <c r="D266" s="87"/>
      <c r="E266" s="87"/>
      <c r="F266" s="87"/>
      <c r="G266" s="87"/>
      <c r="H266" s="87"/>
      <c r="I266" s="87"/>
      <c r="J266" s="89"/>
      <c r="K266" s="87"/>
      <c r="L266" s="87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</row>
    <row r="267" spans="1:51" ht="15.75" thickBot="1" x14ac:dyDescent="0.25">
      <c r="A267" s="245" t="str">
        <f t="shared" si="53"/>
        <v>sábado</v>
      </c>
      <c r="B267" s="87"/>
      <c r="C267" s="87"/>
      <c r="D267" s="87"/>
      <c r="E267" s="87"/>
      <c r="F267" s="87"/>
      <c r="G267" s="87"/>
      <c r="H267" s="87"/>
      <c r="I267" s="87"/>
      <c r="J267" s="89"/>
      <c r="K267" s="87"/>
      <c r="L267" s="87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</row>
    <row r="268" spans="1:51" ht="15.75" thickBot="1" x14ac:dyDescent="0.25">
      <c r="A268" s="245" t="str">
        <f t="shared" si="53"/>
        <v>sábado</v>
      </c>
      <c r="B268" s="87"/>
      <c r="C268" s="87"/>
      <c r="D268" s="87"/>
      <c r="E268" s="87"/>
      <c r="F268" s="87"/>
      <c r="G268" s="87"/>
      <c r="H268" s="87"/>
      <c r="I268" s="87"/>
      <c r="J268" s="89"/>
      <c r="K268" s="87"/>
      <c r="L268" s="87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</row>
    <row r="269" spans="1:51" ht="15.75" thickBot="1" x14ac:dyDescent="0.25">
      <c r="A269" s="245" t="str">
        <f t="shared" si="53"/>
        <v>sábado</v>
      </c>
      <c r="B269" s="87"/>
      <c r="C269" s="87"/>
      <c r="D269" s="87"/>
      <c r="E269" s="87"/>
      <c r="F269" s="87"/>
      <c r="G269" s="87"/>
      <c r="H269" s="87"/>
      <c r="I269" s="87"/>
      <c r="J269" s="89"/>
      <c r="K269" s="87"/>
      <c r="L269" s="87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</row>
    <row r="270" spans="1:51" ht="15.75" thickBot="1" x14ac:dyDescent="0.25">
      <c r="A270" s="245" t="str">
        <f t="shared" si="53"/>
        <v>sábado</v>
      </c>
      <c r="B270" s="87"/>
      <c r="C270" s="87"/>
      <c r="D270" s="87"/>
      <c r="E270" s="87"/>
      <c r="F270" s="87"/>
      <c r="G270" s="87"/>
      <c r="H270" s="87"/>
      <c r="I270" s="87"/>
      <c r="J270" s="89"/>
      <c r="K270" s="87"/>
      <c r="L270" s="87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</row>
    <row r="271" spans="1:51" ht="15.75" thickBot="1" x14ac:dyDescent="0.25">
      <c r="A271" s="245" t="str">
        <f t="shared" si="53"/>
        <v>sábado</v>
      </c>
      <c r="B271" s="87"/>
      <c r="C271" s="87"/>
      <c r="D271" s="87"/>
      <c r="E271" s="87"/>
      <c r="F271" s="87"/>
      <c r="G271" s="87"/>
      <c r="H271" s="87"/>
      <c r="I271" s="87"/>
      <c r="J271" s="89"/>
      <c r="K271" s="87"/>
      <c r="L271" s="87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</row>
    <row r="272" spans="1:51" ht="15.75" thickBot="1" x14ac:dyDescent="0.25">
      <c r="A272" s="245" t="str">
        <f t="shared" si="53"/>
        <v>sábado</v>
      </c>
      <c r="B272" s="87"/>
      <c r="C272" s="87"/>
      <c r="D272" s="87"/>
      <c r="E272" s="87"/>
      <c r="F272" s="87"/>
      <c r="G272" s="87"/>
      <c r="H272" s="87"/>
      <c r="I272" s="87"/>
      <c r="J272" s="89"/>
      <c r="K272" s="87"/>
      <c r="L272" s="87"/>
    </row>
    <row r="273" spans="1:51" ht="15.75" thickBot="1" x14ac:dyDescent="0.25">
      <c r="A273" s="245" t="str">
        <f t="shared" si="53"/>
        <v>sábado</v>
      </c>
      <c r="B273" s="87"/>
      <c r="C273" s="87"/>
      <c r="D273" s="87"/>
      <c r="E273" s="87"/>
      <c r="F273" s="87"/>
      <c r="G273" s="87"/>
      <c r="H273" s="87"/>
      <c r="I273" s="87"/>
      <c r="J273" s="89"/>
      <c r="K273" s="87"/>
      <c r="L273" s="87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</row>
    <row r="274" spans="1:51" ht="15.75" thickBot="1" x14ac:dyDescent="0.25">
      <c r="A274" s="245" t="str">
        <f t="shared" si="53"/>
        <v>sábado</v>
      </c>
      <c r="B274" s="87"/>
      <c r="C274" s="87"/>
      <c r="D274" s="87"/>
      <c r="E274" s="87"/>
      <c r="F274" s="87"/>
      <c r="G274" s="87"/>
      <c r="H274" s="87"/>
      <c r="I274" s="87"/>
      <c r="J274" s="89"/>
      <c r="K274" s="87"/>
      <c r="L274" s="87"/>
    </row>
    <row r="275" spans="1:51" ht="15.75" thickBot="1" x14ac:dyDescent="0.25">
      <c r="A275" s="245" t="str">
        <f t="shared" si="53"/>
        <v>sábado</v>
      </c>
      <c r="B275" s="87"/>
      <c r="C275" s="87"/>
      <c r="D275" s="87"/>
      <c r="E275" s="87"/>
      <c r="F275" s="87"/>
      <c r="G275" s="87"/>
      <c r="H275" s="87"/>
      <c r="I275" s="87"/>
      <c r="J275" s="89"/>
      <c r="K275" s="87"/>
      <c r="L275" s="87"/>
    </row>
    <row r="276" spans="1:51" ht="15.75" thickBot="1" x14ac:dyDescent="0.25">
      <c r="A276" s="245" t="str">
        <f t="shared" si="53"/>
        <v>sábado</v>
      </c>
      <c r="B276" s="87"/>
      <c r="C276" s="87"/>
      <c r="D276" s="87"/>
      <c r="E276" s="87"/>
      <c r="F276" s="87"/>
      <c r="G276" s="87"/>
      <c r="H276" s="87"/>
      <c r="I276" s="87"/>
      <c r="J276" s="89"/>
      <c r="K276" s="87"/>
      <c r="L276" s="87"/>
    </row>
    <row r="277" spans="1:51" ht="15.75" thickBot="1" x14ac:dyDescent="0.25">
      <c r="A277" s="245" t="str">
        <f t="shared" si="53"/>
        <v>sábado</v>
      </c>
      <c r="B277" s="87"/>
      <c r="C277" s="87"/>
      <c r="D277" s="87"/>
      <c r="E277" s="87"/>
      <c r="F277" s="87"/>
      <c r="G277" s="87"/>
      <c r="H277" s="87"/>
      <c r="I277" s="87"/>
      <c r="J277" s="89"/>
      <c r="K277" s="87"/>
      <c r="L277" s="87"/>
    </row>
    <row r="278" spans="1:51" ht="15.75" thickBot="1" x14ac:dyDescent="0.25">
      <c r="A278" s="245" t="str">
        <f t="shared" si="53"/>
        <v>sábado</v>
      </c>
      <c r="B278" s="87"/>
      <c r="C278" s="87"/>
      <c r="D278" s="87"/>
      <c r="E278" s="87"/>
      <c r="F278" s="87"/>
      <c r="G278" s="87"/>
      <c r="H278" s="87"/>
      <c r="I278" s="87"/>
      <c r="J278" s="89"/>
      <c r="K278" s="87"/>
      <c r="L278" s="87"/>
    </row>
    <row r="279" spans="1:51" ht="15.75" thickBot="1" x14ac:dyDescent="0.25">
      <c r="A279" s="245" t="str">
        <f t="shared" si="53"/>
        <v>sábado</v>
      </c>
      <c r="B279" s="87"/>
      <c r="C279" s="87"/>
      <c r="D279" s="87"/>
      <c r="E279" s="87"/>
      <c r="F279" s="87"/>
      <c r="G279" s="87"/>
      <c r="H279" s="87"/>
      <c r="I279" s="87"/>
      <c r="J279" s="89"/>
      <c r="K279" s="87"/>
      <c r="L279" s="87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</row>
    <row r="280" spans="1:51" ht="15.75" thickBot="1" x14ac:dyDescent="0.25">
      <c r="A280" s="245" t="str">
        <f t="shared" si="53"/>
        <v>sábado</v>
      </c>
      <c r="B280" s="87"/>
      <c r="C280" s="87"/>
      <c r="D280" s="87"/>
      <c r="E280" s="87"/>
      <c r="F280" s="87"/>
      <c r="G280" s="87"/>
      <c r="H280" s="87"/>
      <c r="I280" s="87"/>
      <c r="J280" s="89"/>
      <c r="K280" s="87"/>
      <c r="L280" s="87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</row>
    <row r="281" spans="1:51" ht="15.75" thickBot="1" x14ac:dyDescent="0.25">
      <c r="A281" s="245" t="str">
        <f t="shared" si="53"/>
        <v>sábado</v>
      </c>
      <c r="B281" s="87"/>
      <c r="C281" s="87"/>
      <c r="D281" s="87"/>
      <c r="E281" s="87"/>
      <c r="F281" s="87"/>
      <c r="G281" s="87"/>
      <c r="H281" s="87"/>
      <c r="I281" s="87"/>
      <c r="J281" s="89"/>
      <c r="K281" s="87"/>
      <c r="L281" s="87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</row>
    <row r="282" spans="1:51" ht="15.75" thickBot="1" x14ac:dyDescent="0.25">
      <c r="A282" s="245" t="str">
        <f t="shared" si="53"/>
        <v>sábado</v>
      </c>
      <c r="B282" s="87"/>
      <c r="C282" s="87"/>
      <c r="D282" s="87"/>
      <c r="E282" s="87"/>
      <c r="F282" s="87"/>
      <c r="G282" s="87"/>
      <c r="H282" s="87"/>
      <c r="I282" s="87"/>
      <c r="J282" s="89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</row>
    <row r="283" spans="1:51" ht="15.75" thickBot="1" x14ac:dyDescent="0.25">
      <c r="A283" s="245" t="str">
        <f t="shared" si="53"/>
        <v>sábado</v>
      </c>
      <c r="B283" s="87"/>
      <c r="C283" s="87"/>
      <c r="D283" s="87"/>
      <c r="E283" s="87"/>
      <c r="F283" s="87"/>
      <c r="G283" s="87"/>
      <c r="H283" s="87"/>
      <c r="I283" s="87"/>
      <c r="J283" s="89"/>
      <c r="K283" s="87"/>
      <c r="L283" s="87"/>
    </row>
    <row r="284" spans="1:51" ht="15.75" thickBot="1" x14ac:dyDescent="0.25">
      <c r="A284" s="245" t="str">
        <f t="shared" si="53"/>
        <v>sábado</v>
      </c>
      <c r="B284" s="87"/>
      <c r="C284" s="87"/>
      <c r="D284" s="87"/>
      <c r="E284" s="87"/>
      <c r="F284" s="87"/>
      <c r="G284" s="87"/>
      <c r="H284" s="87"/>
      <c r="I284" s="87"/>
      <c r="J284" s="89"/>
      <c r="K284" s="87"/>
      <c r="L284" s="87"/>
    </row>
    <row r="285" spans="1:51" ht="15.75" thickBot="1" x14ac:dyDescent="0.25">
      <c r="A285" s="245" t="str">
        <f t="shared" si="53"/>
        <v>sábado</v>
      </c>
      <c r="B285" s="87"/>
      <c r="C285" s="87"/>
      <c r="D285" s="87"/>
      <c r="E285" s="87"/>
      <c r="F285" s="87"/>
      <c r="G285" s="87"/>
      <c r="H285" s="87"/>
      <c r="I285" s="87"/>
      <c r="J285" s="89"/>
      <c r="K285" s="87"/>
      <c r="L285" s="87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</row>
    <row r="286" spans="1:51" ht="15.75" thickBot="1" x14ac:dyDescent="0.25">
      <c r="A286" s="245" t="str">
        <f t="shared" si="53"/>
        <v>sábado</v>
      </c>
      <c r="B286" s="87"/>
      <c r="C286" s="87"/>
      <c r="D286" s="87"/>
      <c r="E286" s="87"/>
      <c r="F286" s="87"/>
      <c r="G286" s="87"/>
      <c r="H286" s="87"/>
      <c r="I286" s="87"/>
      <c r="J286" s="89"/>
      <c r="K286" s="87"/>
      <c r="L286" s="87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</row>
    <row r="287" spans="1:51" ht="15.75" thickBot="1" x14ac:dyDescent="0.25">
      <c r="A287" s="245" t="str">
        <f t="shared" si="53"/>
        <v>sábado</v>
      </c>
      <c r="B287" s="87"/>
      <c r="C287" s="87"/>
      <c r="D287" s="87"/>
      <c r="E287" s="87"/>
      <c r="F287" s="87"/>
      <c r="G287" s="87"/>
      <c r="H287" s="87"/>
      <c r="I287" s="87"/>
      <c r="J287" s="89"/>
      <c r="K287" s="87"/>
      <c r="L287" s="87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</row>
    <row r="288" spans="1:51" ht="15.75" thickBot="1" x14ac:dyDescent="0.25">
      <c r="A288" s="245" t="str">
        <f t="shared" si="53"/>
        <v>sábado</v>
      </c>
      <c r="B288" s="87"/>
      <c r="C288" s="87"/>
      <c r="D288" s="87"/>
      <c r="E288" s="87"/>
      <c r="F288" s="87"/>
      <c r="G288" s="87"/>
      <c r="H288" s="87"/>
      <c r="I288" s="87"/>
      <c r="J288" s="89"/>
      <c r="K288" s="87"/>
      <c r="L288" s="87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</row>
    <row r="289" spans="1:51" ht="15.75" thickBot="1" x14ac:dyDescent="0.25">
      <c r="A289" s="245" t="str">
        <f t="shared" si="53"/>
        <v>sábado</v>
      </c>
      <c r="B289" s="87"/>
      <c r="C289" s="87"/>
      <c r="D289" s="87"/>
      <c r="E289" s="87"/>
      <c r="F289" s="87"/>
      <c r="G289" s="87"/>
      <c r="H289" s="87"/>
      <c r="I289" s="87"/>
      <c r="J289" s="89"/>
      <c r="K289" s="87"/>
      <c r="L289" s="87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</row>
    <row r="290" spans="1:51" ht="15.75" thickBot="1" x14ac:dyDescent="0.25">
      <c r="A290" s="245" t="str">
        <f t="shared" si="53"/>
        <v>sábado</v>
      </c>
      <c r="B290" s="87"/>
      <c r="C290" s="87"/>
      <c r="D290" s="87"/>
      <c r="E290" s="87"/>
      <c r="F290" s="87"/>
      <c r="G290" s="87"/>
      <c r="H290" s="87"/>
      <c r="I290" s="87"/>
      <c r="J290" s="89"/>
      <c r="K290" s="87"/>
      <c r="L290" s="87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</row>
    <row r="291" spans="1:51" ht="15.75" thickBot="1" x14ac:dyDescent="0.25">
      <c r="A291" s="245" t="str">
        <f t="shared" si="53"/>
        <v>sábado</v>
      </c>
      <c r="B291" s="87"/>
      <c r="C291" s="87"/>
      <c r="D291" s="87"/>
      <c r="E291" s="87"/>
      <c r="F291" s="87"/>
      <c r="G291" s="87"/>
      <c r="H291" s="87"/>
      <c r="I291" s="87"/>
      <c r="J291" s="89"/>
      <c r="K291" s="87"/>
      <c r="L291" s="87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</row>
    <row r="292" spans="1:51" ht="15.75" thickBot="1" x14ac:dyDescent="0.25">
      <c r="A292" s="245" t="str">
        <f t="shared" si="53"/>
        <v>sábado</v>
      </c>
      <c r="B292" s="87"/>
      <c r="C292" s="87"/>
      <c r="D292" s="87"/>
      <c r="E292" s="87"/>
      <c r="F292" s="87"/>
      <c r="G292" s="87"/>
      <c r="H292" s="87"/>
      <c r="I292" s="87"/>
      <c r="J292" s="89"/>
      <c r="K292" s="87"/>
      <c r="L292" s="87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</row>
    <row r="293" spans="1:51" ht="15.75" thickBot="1" x14ac:dyDescent="0.25">
      <c r="A293" s="245" t="str">
        <f t="shared" si="53"/>
        <v>sábado</v>
      </c>
      <c r="B293" s="87"/>
      <c r="C293" s="87"/>
      <c r="D293" s="87"/>
      <c r="E293" s="87"/>
      <c r="F293" s="87"/>
      <c r="G293" s="87"/>
      <c r="H293" s="87"/>
      <c r="I293" s="87"/>
      <c r="J293" s="89"/>
      <c r="K293" s="87"/>
      <c r="L293" s="87"/>
    </row>
    <row r="294" spans="1:51" ht="15.75" thickBot="1" x14ac:dyDescent="0.25">
      <c r="A294" s="245" t="str">
        <f t="shared" si="53"/>
        <v>sábado</v>
      </c>
      <c r="B294" s="87"/>
      <c r="C294" s="87"/>
      <c r="D294" s="87"/>
      <c r="E294" s="87"/>
      <c r="F294" s="87"/>
      <c r="G294" s="87"/>
      <c r="H294" s="87"/>
      <c r="I294" s="87"/>
      <c r="J294" s="89"/>
      <c r="K294" s="87"/>
      <c r="L294" s="87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</row>
    <row r="295" spans="1:51" ht="15.75" thickBot="1" x14ac:dyDescent="0.25">
      <c r="A295" s="245" t="str">
        <f t="shared" si="53"/>
        <v>sábado</v>
      </c>
      <c r="B295" s="87"/>
      <c r="C295" s="87"/>
      <c r="D295" s="87"/>
      <c r="E295" s="87"/>
      <c r="F295" s="87"/>
      <c r="G295" s="87"/>
      <c r="H295" s="87"/>
      <c r="I295" s="87"/>
      <c r="J295" s="89"/>
      <c r="K295" s="87"/>
      <c r="L295" s="87"/>
    </row>
    <row r="296" spans="1:51" ht="15.75" thickBot="1" x14ac:dyDescent="0.25">
      <c r="A296" s="245" t="str">
        <f t="shared" si="53"/>
        <v>sábado</v>
      </c>
      <c r="B296" s="87"/>
      <c r="C296" s="87"/>
      <c r="D296" s="87"/>
      <c r="E296" s="87"/>
      <c r="F296" s="87"/>
      <c r="G296" s="87"/>
      <c r="H296" s="87"/>
      <c r="I296" s="87"/>
      <c r="J296" s="89"/>
      <c r="K296" s="87"/>
      <c r="L296" s="87"/>
    </row>
    <row r="297" spans="1:51" ht="15.75" thickBot="1" x14ac:dyDescent="0.25">
      <c r="A297" s="245" t="str">
        <f t="shared" si="53"/>
        <v>sábado</v>
      </c>
      <c r="B297" s="87"/>
      <c r="C297" s="87"/>
      <c r="D297" s="87"/>
      <c r="E297" s="87"/>
      <c r="F297" s="87"/>
      <c r="G297" s="87"/>
      <c r="H297" s="87"/>
      <c r="I297" s="87"/>
      <c r="J297" s="89"/>
      <c r="K297" s="87"/>
      <c r="L297" s="87"/>
    </row>
    <row r="298" spans="1:51" ht="15.75" thickBot="1" x14ac:dyDescent="0.25">
      <c r="A298" s="245" t="str">
        <f t="shared" si="53"/>
        <v>sábado</v>
      </c>
      <c r="B298" s="87"/>
      <c r="C298" s="87"/>
      <c r="D298" s="87"/>
      <c r="E298" s="87"/>
      <c r="F298" s="87"/>
      <c r="G298" s="87"/>
      <c r="H298" s="87"/>
      <c r="I298" s="87"/>
      <c r="J298" s="89"/>
      <c r="K298" s="87"/>
      <c r="L298" s="87"/>
    </row>
    <row r="299" spans="1:51" ht="15.75" thickBot="1" x14ac:dyDescent="0.25">
      <c r="A299" s="245" t="str">
        <f t="shared" si="53"/>
        <v>sábado</v>
      </c>
      <c r="B299" s="87"/>
      <c r="C299" s="87"/>
      <c r="D299" s="87"/>
      <c r="E299" s="87"/>
      <c r="F299" s="87"/>
      <c r="G299" s="87"/>
      <c r="H299" s="87"/>
      <c r="I299" s="87"/>
      <c r="J299" s="89"/>
      <c r="K299" s="87"/>
      <c r="L299" s="87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</row>
    <row r="300" spans="1:51" ht="15.75" thickBot="1" x14ac:dyDescent="0.25">
      <c r="A300" s="245" t="str">
        <f t="shared" si="53"/>
        <v>sábado</v>
      </c>
      <c r="B300" s="87"/>
      <c r="C300" s="87"/>
      <c r="D300" s="87"/>
      <c r="E300" s="87"/>
      <c r="F300" s="87"/>
      <c r="G300" s="87"/>
      <c r="H300" s="87"/>
      <c r="I300" s="87"/>
      <c r="J300" s="89"/>
      <c r="K300" s="87"/>
      <c r="L300" s="87"/>
    </row>
    <row r="301" spans="1:51" ht="15.75" thickBot="1" x14ac:dyDescent="0.25">
      <c r="A301" s="245" t="str">
        <f t="shared" si="53"/>
        <v>sábado</v>
      </c>
      <c r="B301" s="87"/>
      <c r="C301" s="87"/>
      <c r="D301" s="87"/>
      <c r="E301" s="87"/>
      <c r="F301" s="87"/>
      <c r="G301" s="87"/>
      <c r="H301" s="87"/>
      <c r="I301" s="87"/>
      <c r="J301" s="89"/>
      <c r="K301" s="87"/>
      <c r="L301" s="87"/>
    </row>
    <row r="302" spans="1:51" ht="15.75" thickBot="1" x14ac:dyDescent="0.25">
      <c r="A302" s="245" t="str">
        <f t="shared" si="53"/>
        <v>sábado</v>
      </c>
      <c r="B302" s="87"/>
      <c r="C302" s="87"/>
      <c r="D302" s="87"/>
      <c r="E302" s="87"/>
      <c r="F302" s="87"/>
      <c r="G302" s="87"/>
      <c r="H302" s="87"/>
      <c r="I302" s="87"/>
      <c r="J302" s="89"/>
      <c r="K302" s="87"/>
      <c r="L302" s="87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</row>
    <row r="303" spans="1:51" ht="15.75" thickBot="1" x14ac:dyDescent="0.25">
      <c r="A303" s="245" t="str">
        <f t="shared" si="53"/>
        <v>sábado</v>
      </c>
      <c r="B303" s="87"/>
      <c r="C303" s="87"/>
      <c r="D303" s="87"/>
      <c r="E303" s="87"/>
      <c r="F303" s="87"/>
      <c r="G303" s="87"/>
      <c r="H303" s="87"/>
      <c r="I303" s="87"/>
      <c r="J303" s="89"/>
      <c r="K303" s="87"/>
      <c r="L303" s="87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</row>
    <row r="304" spans="1:51" ht="15.75" thickBot="1" x14ac:dyDescent="0.25">
      <c r="A304" s="245" t="str">
        <f t="shared" si="53"/>
        <v>sábado</v>
      </c>
      <c r="B304" s="87"/>
      <c r="C304" s="87"/>
      <c r="D304" s="87"/>
      <c r="E304" s="87"/>
      <c r="F304" s="87"/>
      <c r="G304" s="87"/>
      <c r="H304" s="87"/>
      <c r="I304" s="87"/>
      <c r="J304" s="89"/>
      <c r="K304" s="87"/>
      <c r="L304" s="87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</row>
    <row r="305" spans="1:51" ht="15.75" thickBot="1" x14ac:dyDescent="0.25">
      <c r="A305" s="245" t="str">
        <f t="shared" si="53"/>
        <v>sábado</v>
      </c>
      <c r="B305" s="87"/>
      <c r="C305" s="87"/>
      <c r="D305" s="87"/>
      <c r="E305" s="87"/>
      <c r="F305" s="87"/>
      <c r="G305" s="87"/>
      <c r="H305" s="87"/>
      <c r="I305" s="87"/>
      <c r="J305" s="89"/>
      <c r="K305" s="87"/>
      <c r="L305" s="87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</row>
    <row r="306" spans="1:51" ht="15.75" thickBot="1" x14ac:dyDescent="0.25">
      <c r="A306" s="245" t="str">
        <f t="shared" si="53"/>
        <v>sábado</v>
      </c>
      <c r="B306" s="87"/>
      <c r="C306" s="87"/>
      <c r="D306" s="87"/>
      <c r="E306" s="87"/>
      <c r="F306" s="87"/>
      <c r="G306" s="87"/>
      <c r="H306" s="87"/>
      <c r="I306" s="87"/>
      <c r="J306" s="89"/>
      <c r="K306" s="87"/>
      <c r="L306" s="87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</row>
    <row r="307" spans="1:51" ht="15.75" thickBot="1" x14ac:dyDescent="0.25">
      <c r="A307" s="245" t="str">
        <f t="shared" si="53"/>
        <v>sábado</v>
      </c>
      <c r="B307" s="87"/>
      <c r="C307" s="87"/>
      <c r="D307" s="87"/>
      <c r="E307" s="87"/>
      <c r="F307" s="87"/>
      <c r="G307" s="87"/>
      <c r="H307" s="87"/>
      <c r="I307" s="87"/>
      <c r="J307" s="89"/>
      <c r="K307" s="87"/>
      <c r="L307" s="87"/>
    </row>
    <row r="308" spans="1:51" ht="15.75" thickBot="1" x14ac:dyDescent="0.25">
      <c r="A308" s="245" t="str">
        <f t="shared" si="53"/>
        <v>sábado</v>
      </c>
      <c r="B308" s="87"/>
      <c r="C308" s="87"/>
      <c r="D308" s="87"/>
      <c r="E308" s="87"/>
      <c r="F308" s="87"/>
      <c r="G308" s="87"/>
      <c r="H308" s="87"/>
      <c r="I308" s="87"/>
      <c r="J308" s="89"/>
      <c r="K308" s="87"/>
      <c r="L308" s="87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</row>
    <row r="309" spans="1:51" ht="15.75" thickBot="1" x14ac:dyDescent="0.25">
      <c r="A309" s="245" t="str">
        <f t="shared" si="53"/>
        <v>sábado</v>
      </c>
      <c r="B309" s="87"/>
      <c r="C309" s="87"/>
      <c r="D309" s="87"/>
      <c r="E309" s="87"/>
      <c r="F309" s="87"/>
      <c r="G309" s="87"/>
      <c r="H309" s="87"/>
      <c r="I309" s="87"/>
      <c r="J309" s="89"/>
      <c r="K309" s="87"/>
      <c r="L309" s="87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</row>
    <row r="310" spans="1:51" ht="15.75" thickBot="1" x14ac:dyDescent="0.25">
      <c r="A310" s="245" t="str">
        <f t="shared" si="53"/>
        <v>sábado</v>
      </c>
      <c r="B310" s="87"/>
      <c r="C310" s="87"/>
      <c r="D310" s="87"/>
      <c r="E310" s="87"/>
      <c r="F310" s="87"/>
      <c r="G310" s="87"/>
      <c r="H310" s="87"/>
      <c r="I310" s="87"/>
      <c r="J310" s="89"/>
      <c r="K310" s="87"/>
      <c r="L310" s="87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</row>
    <row r="311" spans="1:51" ht="15.75" thickBot="1" x14ac:dyDescent="0.3">
      <c r="A311" s="245" t="str">
        <f t="shared" si="53"/>
        <v>sábado</v>
      </c>
      <c r="B311" s="87"/>
      <c r="C311" s="87"/>
      <c r="D311" s="87"/>
      <c r="E311" s="87"/>
      <c r="F311" s="87"/>
      <c r="G311" s="87"/>
      <c r="H311" s="87"/>
      <c r="I311" s="87"/>
      <c r="J311" s="89"/>
      <c r="K311" s="87"/>
      <c r="L311" s="87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</row>
    <row r="312" spans="1:51" ht="15.75" thickBot="1" x14ac:dyDescent="0.25">
      <c r="A312" s="245" t="str">
        <f t="shared" si="53"/>
        <v>sábado</v>
      </c>
      <c r="B312" s="87"/>
      <c r="C312" s="87"/>
      <c r="D312" s="87"/>
      <c r="E312" s="87"/>
      <c r="F312" s="87"/>
      <c r="G312" s="87"/>
      <c r="H312" s="87"/>
      <c r="I312" s="87"/>
      <c r="J312" s="89"/>
      <c r="K312" s="87"/>
      <c r="L312" s="87"/>
    </row>
    <row r="313" spans="1:51" ht="15.75" thickBot="1" x14ac:dyDescent="0.25">
      <c r="A313" s="245" t="str">
        <f t="shared" si="53"/>
        <v>sábado</v>
      </c>
      <c r="B313" s="87"/>
      <c r="C313" s="87"/>
      <c r="D313" s="87"/>
      <c r="E313" s="87"/>
      <c r="F313" s="87"/>
      <c r="G313" s="87"/>
      <c r="H313" s="87"/>
      <c r="I313" s="87"/>
      <c r="J313" s="89"/>
      <c r="K313" s="87"/>
      <c r="L313" s="87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</row>
    <row r="314" spans="1:51" ht="15.75" thickBot="1" x14ac:dyDescent="0.25">
      <c r="A314" s="245" t="str">
        <f t="shared" si="53"/>
        <v>sábado</v>
      </c>
      <c r="B314" s="87"/>
      <c r="C314" s="87"/>
      <c r="D314" s="87"/>
      <c r="E314" s="87"/>
      <c r="F314" s="87"/>
      <c r="G314" s="87"/>
      <c r="H314" s="87"/>
      <c r="I314" s="87"/>
      <c r="J314" s="89"/>
      <c r="K314" s="87"/>
      <c r="L314" s="87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</row>
    <row r="315" spans="1:51" ht="15.75" thickBot="1" x14ac:dyDescent="0.25">
      <c r="A315" s="245" t="str">
        <f t="shared" si="53"/>
        <v>sábado</v>
      </c>
      <c r="B315" s="87"/>
      <c r="C315" s="87"/>
      <c r="D315" s="87"/>
      <c r="E315" s="87"/>
      <c r="F315" s="87"/>
      <c r="G315" s="87"/>
      <c r="H315" s="87"/>
      <c r="I315" s="87"/>
      <c r="J315" s="89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</row>
    <row r="316" spans="1:51" ht="15.75" thickBot="1" x14ac:dyDescent="0.25">
      <c r="A316" s="245" t="str">
        <f t="shared" si="53"/>
        <v>sábado</v>
      </c>
      <c r="B316" s="87"/>
      <c r="C316" s="87"/>
      <c r="D316" s="87"/>
      <c r="E316" s="87"/>
      <c r="F316" s="87"/>
      <c r="G316" s="87"/>
      <c r="H316" s="87"/>
      <c r="I316" s="87"/>
      <c r="J316" s="89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</row>
    <row r="317" spans="1:51" ht="15.75" thickBot="1" x14ac:dyDescent="0.25">
      <c r="A317" s="245" t="str">
        <f t="shared" si="53"/>
        <v>sábado</v>
      </c>
      <c r="B317" s="87"/>
      <c r="C317" s="87"/>
      <c r="D317" s="87"/>
      <c r="E317" s="87"/>
      <c r="F317" s="87"/>
      <c r="G317" s="87"/>
      <c r="H317" s="87"/>
      <c r="I317" s="87"/>
      <c r="J317" s="89"/>
      <c r="K317" s="87"/>
      <c r="L317" s="87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</row>
    <row r="318" spans="1:51" ht="15.75" thickBot="1" x14ac:dyDescent="0.25">
      <c r="A318" s="245" t="str">
        <f t="shared" si="53"/>
        <v>sábado</v>
      </c>
      <c r="B318" s="87"/>
      <c r="C318" s="87"/>
      <c r="D318" s="87"/>
      <c r="E318" s="87"/>
      <c r="F318" s="87"/>
      <c r="G318" s="87"/>
      <c r="H318" s="87"/>
      <c r="I318" s="87"/>
      <c r="J318" s="89"/>
      <c r="K318" s="87"/>
      <c r="L318" s="87"/>
    </row>
    <row r="319" spans="1:51" ht="15.75" thickBot="1" x14ac:dyDescent="0.25">
      <c r="A319" s="245" t="str">
        <f t="shared" si="53"/>
        <v>sábado</v>
      </c>
      <c r="B319" s="87"/>
      <c r="C319" s="87"/>
      <c r="D319" s="87"/>
      <c r="E319" s="87"/>
      <c r="F319" s="87"/>
      <c r="G319" s="87"/>
      <c r="H319" s="87"/>
      <c r="I319" s="87"/>
      <c r="J319" s="89"/>
      <c r="K319" s="87"/>
      <c r="L319" s="87"/>
    </row>
    <row r="320" spans="1:51" ht="15.75" thickBot="1" x14ac:dyDescent="0.25">
      <c r="A320" s="245" t="str">
        <f t="shared" si="53"/>
        <v>sábado</v>
      </c>
      <c r="B320" s="87"/>
      <c r="C320" s="87"/>
      <c r="D320" s="87"/>
      <c r="E320" s="87"/>
      <c r="F320" s="87"/>
      <c r="G320" s="87"/>
      <c r="H320" s="87"/>
      <c r="I320" s="87"/>
      <c r="J320" s="89"/>
      <c r="K320" s="87"/>
      <c r="L320" s="87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</row>
    <row r="321" spans="1:53" ht="15.75" thickBot="1" x14ac:dyDescent="0.25">
      <c r="A321" s="245" t="str">
        <f t="shared" si="53"/>
        <v>sábado</v>
      </c>
      <c r="B321" s="87"/>
      <c r="C321" s="87"/>
      <c r="D321" s="87"/>
      <c r="E321" s="87"/>
      <c r="F321" s="87"/>
      <c r="G321" s="87"/>
      <c r="H321" s="87"/>
      <c r="I321" s="87"/>
      <c r="J321" s="89"/>
      <c r="K321" s="87"/>
      <c r="L321" s="87"/>
    </row>
    <row r="322" spans="1:53" ht="15.75" thickBot="1" x14ac:dyDescent="0.25">
      <c r="A322" s="245" t="str">
        <f t="shared" si="53"/>
        <v>sábado</v>
      </c>
      <c r="B322" s="87"/>
      <c r="C322" s="87"/>
      <c r="D322" s="87"/>
      <c r="E322" s="87"/>
      <c r="F322" s="87"/>
      <c r="G322" s="87"/>
      <c r="H322" s="87"/>
      <c r="I322" s="87"/>
      <c r="J322" s="89"/>
      <c r="K322" s="87"/>
      <c r="L322" s="87"/>
    </row>
    <row r="323" spans="1:53" ht="15.75" thickBot="1" x14ac:dyDescent="0.25">
      <c r="A323" s="245" t="str">
        <f t="shared" si="53"/>
        <v>sábado</v>
      </c>
      <c r="B323" s="87"/>
      <c r="C323" s="87"/>
      <c r="D323" s="87"/>
      <c r="E323" s="87"/>
      <c r="F323" s="87"/>
      <c r="G323" s="87"/>
      <c r="H323" s="87"/>
      <c r="I323" s="87"/>
      <c r="J323" s="89"/>
      <c r="K323" s="87"/>
      <c r="L323" s="87"/>
    </row>
    <row r="324" spans="1:53" ht="15.75" thickBot="1" x14ac:dyDescent="0.25">
      <c r="A324" s="245" t="str">
        <f t="shared" si="53"/>
        <v>sábado</v>
      </c>
      <c r="B324" s="87"/>
      <c r="C324" s="87"/>
      <c r="D324" s="87"/>
      <c r="E324" s="87"/>
      <c r="F324" s="87"/>
      <c r="G324" s="87"/>
      <c r="H324" s="87"/>
      <c r="I324" s="87"/>
      <c r="J324" s="89"/>
      <c r="K324" s="87"/>
      <c r="L324" s="87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</row>
    <row r="325" spans="1:53" ht="15.75" thickBot="1" x14ac:dyDescent="0.25">
      <c r="A325" s="245" t="str">
        <f t="shared" si="53"/>
        <v>sábado</v>
      </c>
      <c r="B325" s="87"/>
      <c r="C325" s="87"/>
      <c r="D325" s="87"/>
      <c r="E325" s="87"/>
      <c r="F325" s="87"/>
      <c r="G325" s="87"/>
      <c r="H325" s="87"/>
      <c r="I325" s="87"/>
      <c r="J325" s="89"/>
      <c r="K325" s="87"/>
      <c r="L325" s="87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</row>
    <row r="326" spans="1:53" ht="15.75" thickBot="1" x14ac:dyDescent="0.25">
      <c r="A326" s="245" t="str">
        <f t="shared" si="53"/>
        <v>sábado</v>
      </c>
      <c r="B326" s="87"/>
      <c r="C326" s="87"/>
      <c r="D326" s="87"/>
      <c r="E326" s="87"/>
      <c r="F326" s="87"/>
      <c r="G326" s="87"/>
      <c r="H326" s="87"/>
      <c r="I326" s="87"/>
      <c r="J326" s="89"/>
      <c r="K326" s="87"/>
      <c r="L326" s="87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</row>
    <row r="327" spans="1:53" ht="15.75" thickBot="1" x14ac:dyDescent="0.25">
      <c r="A327" s="245" t="str">
        <f t="shared" ref="A327:A390" si="54">+TEXT(B327,"dddd")</f>
        <v>sábado</v>
      </c>
      <c r="B327" s="87"/>
      <c r="C327" s="87"/>
      <c r="D327" s="87"/>
      <c r="E327" s="87"/>
      <c r="F327" s="87"/>
      <c r="G327" s="87"/>
      <c r="H327" s="87"/>
      <c r="I327" s="87"/>
      <c r="J327" s="89"/>
      <c r="K327" s="87"/>
      <c r="L327" s="87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</row>
    <row r="328" spans="1:53" ht="15.75" thickBot="1" x14ac:dyDescent="0.25">
      <c r="A328" s="245" t="str">
        <f t="shared" si="54"/>
        <v>sábado</v>
      </c>
      <c r="B328" s="87"/>
      <c r="C328" s="87"/>
      <c r="D328" s="87"/>
      <c r="E328" s="87"/>
      <c r="F328" s="87"/>
      <c r="G328" s="87"/>
      <c r="H328" s="87"/>
      <c r="I328" s="87"/>
      <c r="J328" s="89"/>
      <c r="K328" s="87"/>
      <c r="L328" s="87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</row>
    <row r="329" spans="1:53" ht="15.75" thickBot="1" x14ac:dyDescent="0.25">
      <c r="A329" s="245" t="str">
        <f t="shared" si="54"/>
        <v>sábado</v>
      </c>
      <c r="B329" s="87"/>
      <c r="C329" s="87"/>
      <c r="D329" s="87"/>
      <c r="E329" s="87"/>
      <c r="F329" s="87"/>
      <c r="G329" s="87"/>
      <c r="H329" s="87"/>
      <c r="I329" s="87"/>
      <c r="J329" s="89"/>
      <c r="K329" s="87"/>
      <c r="L329" s="87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</row>
    <row r="330" spans="1:53" ht="15.75" thickBot="1" x14ac:dyDescent="0.25">
      <c r="A330" s="245" t="str">
        <f t="shared" si="54"/>
        <v>sábado</v>
      </c>
      <c r="B330" s="87"/>
      <c r="C330" s="87"/>
      <c r="D330" s="87"/>
      <c r="E330" s="87"/>
      <c r="F330" s="87"/>
      <c r="G330" s="87"/>
      <c r="H330" s="87"/>
      <c r="I330" s="87"/>
      <c r="J330" s="89"/>
      <c r="K330" s="87"/>
      <c r="L330" s="87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</row>
    <row r="331" spans="1:53" ht="15.75" thickBot="1" x14ac:dyDescent="0.25">
      <c r="A331" s="245" t="str">
        <f t="shared" si="54"/>
        <v>sábado</v>
      </c>
      <c r="B331" s="87"/>
      <c r="C331" s="87"/>
      <c r="D331" s="87"/>
      <c r="E331" s="87"/>
      <c r="F331" s="87"/>
      <c r="G331" s="87"/>
      <c r="H331" s="87"/>
      <c r="I331" s="87"/>
      <c r="J331" s="89"/>
      <c r="K331" s="87"/>
      <c r="L331" s="87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89"/>
      <c r="BA331" s="89"/>
    </row>
    <row r="332" spans="1:53" ht="15.75" thickBot="1" x14ac:dyDescent="0.25">
      <c r="A332" s="245" t="str">
        <f t="shared" si="54"/>
        <v>sábado</v>
      </c>
      <c r="B332" s="87"/>
      <c r="C332" s="87"/>
      <c r="D332" s="87"/>
      <c r="E332" s="87"/>
      <c r="F332" s="87"/>
      <c r="G332" s="87"/>
      <c r="H332" s="87"/>
      <c r="I332" s="87"/>
      <c r="J332" s="89"/>
      <c r="K332" s="87"/>
      <c r="L332" s="87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</row>
    <row r="333" spans="1:53" ht="15.75" thickBot="1" x14ac:dyDescent="0.3">
      <c r="A333" s="245" t="str">
        <f t="shared" si="54"/>
        <v>sábado</v>
      </c>
      <c r="B333" s="87"/>
      <c r="C333" s="87"/>
      <c r="D333" s="87"/>
      <c r="E333" s="87"/>
      <c r="F333" s="87"/>
      <c r="G333" s="87"/>
      <c r="H333" s="87"/>
      <c r="I333" s="87"/>
      <c r="J333" s="89"/>
      <c r="K333" s="87"/>
      <c r="L333" s="8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89"/>
      <c r="BA333" s="89"/>
    </row>
    <row r="334" spans="1:53" ht="15.75" thickBot="1" x14ac:dyDescent="0.25">
      <c r="A334" s="245" t="str">
        <f t="shared" si="54"/>
        <v>sábado</v>
      </c>
      <c r="B334" s="87"/>
      <c r="C334" s="87"/>
      <c r="D334" s="87"/>
      <c r="E334" s="87"/>
      <c r="F334" s="87"/>
      <c r="G334" s="87"/>
      <c r="H334" s="87"/>
      <c r="I334" s="87"/>
      <c r="J334" s="89"/>
      <c r="K334" s="87"/>
      <c r="L334" s="87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</row>
    <row r="335" spans="1:53" ht="15.75" thickBot="1" x14ac:dyDescent="0.25">
      <c r="A335" s="245" t="str">
        <f t="shared" si="54"/>
        <v>sábado</v>
      </c>
      <c r="B335" s="87"/>
      <c r="C335" s="87"/>
      <c r="D335" s="87"/>
      <c r="E335" s="87"/>
      <c r="F335" s="87"/>
      <c r="G335" s="87"/>
      <c r="H335" s="87"/>
      <c r="I335" s="87"/>
      <c r="J335" s="89"/>
      <c r="K335" s="87"/>
      <c r="L335" s="87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</row>
    <row r="336" spans="1:53" ht="15.75" thickBot="1" x14ac:dyDescent="0.25">
      <c r="A336" s="245" t="str">
        <f t="shared" si="54"/>
        <v>sábado</v>
      </c>
      <c r="B336" s="87"/>
      <c r="C336" s="87"/>
      <c r="D336" s="87"/>
      <c r="E336" s="87"/>
      <c r="F336" s="87"/>
      <c r="G336" s="87"/>
      <c r="H336" s="87"/>
      <c r="I336" s="87"/>
      <c r="J336" s="89"/>
      <c r="K336" s="87"/>
      <c r="L336" s="87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89"/>
      <c r="BA336" s="89"/>
    </row>
    <row r="337" spans="1:53" ht="15.75" thickBot="1" x14ac:dyDescent="0.25">
      <c r="A337" s="245" t="str">
        <f t="shared" si="54"/>
        <v>sábado</v>
      </c>
      <c r="B337" s="87"/>
      <c r="C337" s="87"/>
      <c r="D337" s="87"/>
      <c r="E337" s="87"/>
      <c r="F337" s="87"/>
      <c r="G337" s="87"/>
      <c r="H337" s="87"/>
      <c r="I337" s="87"/>
      <c r="J337" s="89"/>
      <c r="K337" s="87"/>
      <c r="L337" s="87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89"/>
      <c r="BA337" s="89"/>
    </row>
    <row r="338" spans="1:53" ht="15.75" thickBot="1" x14ac:dyDescent="0.25">
      <c r="A338" s="245" t="str">
        <f t="shared" si="54"/>
        <v>sábado</v>
      </c>
      <c r="B338" s="87"/>
      <c r="C338" s="87"/>
      <c r="D338" s="87"/>
      <c r="E338" s="87"/>
      <c r="F338" s="87"/>
      <c r="G338" s="87"/>
      <c r="H338" s="87"/>
      <c r="I338" s="87"/>
      <c r="J338" s="89"/>
      <c r="K338" s="87"/>
      <c r="L338" s="87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89"/>
      <c r="BA338" s="89"/>
    </row>
    <row r="339" spans="1:53" ht="15.75" thickBot="1" x14ac:dyDescent="0.25">
      <c r="A339" s="245" t="str">
        <f t="shared" si="54"/>
        <v>sábado</v>
      </c>
      <c r="B339" s="87"/>
      <c r="C339" s="87"/>
      <c r="D339" s="87"/>
      <c r="E339" s="87"/>
      <c r="F339" s="87"/>
      <c r="G339" s="87"/>
      <c r="H339" s="87"/>
      <c r="I339" s="87"/>
      <c r="J339" s="89"/>
      <c r="K339" s="87"/>
      <c r="L339" s="87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89"/>
      <c r="BA339" s="89"/>
    </row>
    <row r="340" spans="1:53" ht="15.75" thickBot="1" x14ac:dyDescent="0.25">
      <c r="A340" s="245" t="str">
        <f t="shared" si="54"/>
        <v>sábado</v>
      </c>
      <c r="B340" s="87"/>
      <c r="C340" s="87"/>
      <c r="D340" s="87"/>
      <c r="E340" s="87"/>
      <c r="F340" s="87"/>
      <c r="G340" s="87"/>
      <c r="H340" s="87"/>
      <c r="I340" s="87"/>
      <c r="J340" s="89"/>
      <c r="K340" s="87"/>
      <c r="L340" s="87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89"/>
      <c r="BA340" s="89"/>
    </row>
    <row r="341" spans="1:53" ht="15.75" thickBot="1" x14ac:dyDescent="0.25">
      <c r="A341" s="245" t="str">
        <f t="shared" si="54"/>
        <v>sábado</v>
      </c>
      <c r="B341" s="87"/>
      <c r="C341" s="87"/>
      <c r="D341" s="87"/>
      <c r="E341" s="87"/>
      <c r="F341" s="87"/>
      <c r="G341" s="87"/>
      <c r="H341" s="87"/>
      <c r="I341" s="87"/>
      <c r="J341" s="89"/>
      <c r="K341" s="87"/>
      <c r="L341" s="87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89"/>
      <c r="BA341" s="89"/>
    </row>
    <row r="342" spans="1:53" ht="15.75" thickBot="1" x14ac:dyDescent="0.25">
      <c r="A342" s="245" t="str">
        <f t="shared" si="54"/>
        <v>sábado</v>
      </c>
      <c r="B342" s="87"/>
      <c r="C342" s="87"/>
      <c r="D342" s="87"/>
      <c r="E342" s="87"/>
      <c r="F342" s="87"/>
      <c r="G342" s="87"/>
      <c r="H342" s="87"/>
      <c r="I342" s="87"/>
      <c r="J342" s="89"/>
      <c r="K342" s="87"/>
      <c r="L342" s="87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</row>
    <row r="343" spans="1:53" ht="15.75" thickBot="1" x14ac:dyDescent="0.25">
      <c r="A343" s="245" t="str">
        <f t="shared" si="54"/>
        <v>sábado</v>
      </c>
      <c r="B343" s="87"/>
      <c r="C343" s="87"/>
      <c r="D343" s="87"/>
      <c r="E343" s="87"/>
      <c r="F343" s="87"/>
      <c r="G343" s="87"/>
      <c r="H343" s="87"/>
      <c r="I343" s="87"/>
      <c r="J343" s="89"/>
      <c r="K343" s="87"/>
      <c r="L343" s="87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89"/>
      <c r="BA343" s="89"/>
    </row>
    <row r="344" spans="1:53" ht="15.75" thickBot="1" x14ac:dyDescent="0.25">
      <c r="A344" s="245" t="str">
        <f t="shared" si="54"/>
        <v>sábado</v>
      </c>
      <c r="B344" s="87"/>
      <c r="C344" s="87"/>
      <c r="D344" s="87"/>
      <c r="E344" s="87"/>
      <c r="F344" s="87"/>
      <c r="G344" s="87"/>
      <c r="H344" s="87"/>
      <c r="I344" s="87"/>
      <c r="J344" s="89"/>
      <c r="K344" s="87"/>
      <c r="L344" s="87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</row>
    <row r="345" spans="1:53" ht="15.75" thickBot="1" x14ac:dyDescent="0.25">
      <c r="A345" s="245" t="str">
        <f t="shared" si="54"/>
        <v>sábado</v>
      </c>
      <c r="B345" s="87"/>
      <c r="C345" s="87"/>
      <c r="D345" s="87"/>
      <c r="E345" s="87"/>
      <c r="F345" s="87"/>
      <c r="G345" s="87"/>
      <c r="H345" s="87"/>
      <c r="I345" s="87"/>
      <c r="J345" s="89"/>
      <c r="K345" s="87"/>
      <c r="L345" s="87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89"/>
      <c r="BA345" s="89"/>
    </row>
    <row r="346" spans="1:53" ht="15.75" thickBot="1" x14ac:dyDescent="0.25">
      <c r="A346" s="245" t="str">
        <f t="shared" si="54"/>
        <v>sábado</v>
      </c>
      <c r="B346" s="87"/>
      <c r="C346" s="87"/>
      <c r="D346" s="87"/>
      <c r="E346" s="87"/>
      <c r="F346" s="87"/>
      <c r="G346" s="87"/>
      <c r="H346" s="87"/>
      <c r="I346" s="87"/>
      <c r="J346" s="89"/>
      <c r="K346" s="87"/>
      <c r="L346" s="87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89"/>
      <c r="BA346" s="89"/>
    </row>
    <row r="347" spans="1:53" ht="15.75" thickBot="1" x14ac:dyDescent="0.25">
      <c r="A347" s="245" t="str">
        <f t="shared" si="54"/>
        <v>sábado</v>
      </c>
      <c r="B347" s="87"/>
      <c r="C347" s="87"/>
      <c r="D347" s="87"/>
      <c r="E347" s="87"/>
      <c r="F347" s="87"/>
      <c r="G347" s="87"/>
      <c r="H347" s="87"/>
      <c r="I347" s="87"/>
      <c r="J347" s="89"/>
      <c r="K347" s="87"/>
      <c r="L347" s="87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89"/>
      <c r="BA347" s="89"/>
    </row>
    <row r="348" spans="1:53" ht="15.75" thickBot="1" x14ac:dyDescent="0.25">
      <c r="A348" s="245" t="str">
        <f t="shared" si="54"/>
        <v>sábado</v>
      </c>
      <c r="B348" s="87"/>
      <c r="C348" s="87"/>
      <c r="D348" s="87"/>
      <c r="E348" s="87"/>
      <c r="F348" s="87"/>
      <c r="G348" s="87"/>
      <c r="H348" s="87"/>
      <c r="I348" s="87"/>
      <c r="J348" s="89"/>
      <c r="K348" s="87"/>
      <c r="L348" s="87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89"/>
      <c r="BA348" s="89"/>
    </row>
    <row r="349" spans="1:53" ht="15.75" thickBot="1" x14ac:dyDescent="0.25">
      <c r="A349" s="245" t="str">
        <f t="shared" si="54"/>
        <v>sábado</v>
      </c>
      <c r="B349" s="87"/>
      <c r="C349" s="87"/>
      <c r="D349" s="87"/>
      <c r="E349" s="87"/>
      <c r="F349" s="87"/>
      <c r="G349" s="87"/>
      <c r="H349" s="87"/>
      <c r="I349" s="87"/>
      <c r="J349" s="89"/>
      <c r="K349" s="87"/>
      <c r="L349" s="87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89"/>
      <c r="BA349" s="89"/>
    </row>
    <row r="350" spans="1:53" ht="15.75" thickBot="1" x14ac:dyDescent="0.25">
      <c r="A350" s="245" t="str">
        <f t="shared" si="54"/>
        <v>sábado</v>
      </c>
      <c r="B350" s="87"/>
      <c r="C350" s="87"/>
      <c r="D350" s="87"/>
      <c r="E350" s="87"/>
      <c r="F350" s="87"/>
      <c r="G350" s="87"/>
      <c r="H350" s="87"/>
      <c r="I350" s="87"/>
      <c r="J350" s="89"/>
      <c r="K350" s="87"/>
      <c r="L350" s="87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</row>
    <row r="351" spans="1:53" ht="15.75" thickBot="1" x14ac:dyDescent="0.25">
      <c r="A351" s="245" t="str">
        <f t="shared" si="54"/>
        <v>sábado</v>
      </c>
      <c r="B351" s="87"/>
      <c r="C351" s="87"/>
      <c r="D351" s="87"/>
      <c r="E351" s="87"/>
      <c r="F351" s="87"/>
      <c r="G351" s="87"/>
      <c r="H351" s="87"/>
      <c r="I351" s="87"/>
      <c r="J351" s="89"/>
      <c r="K351" s="87"/>
      <c r="L351" s="87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</row>
    <row r="352" spans="1:53" ht="15.75" thickBot="1" x14ac:dyDescent="0.25">
      <c r="A352" s="245" t="str">
        <f t="shared" si="54"/>
        <v>sábado</v>
      </c>
      <c r="B352" s="87"/>
      <c r="C352" s="87"/>
      <c r="D352" s="87"/>
      <c r="E352" s="87"/>
      <c r="F352" s="87"/>
      <c r="G352" s="87"/>
      <c r="H352" s="87"/>
      <c r="I352" s="87"/>
      <c r="J352" s="89"/>
      <c r="K352" s="87"/>
      <c r="L352" s="87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89"/>
      <c r="BA352" s="89"/>
    </row>
    <row r="353" spans="1:53" ht="15.75" thickBot="1" x14ac:dyDescent="0.25">
      <c r="A353" s="245" t="str">
        <f t="shared" si="54"/>
        <v>sábado</v>
      </c>
      <c r="B353" s="87"/>
      <c r="C353" s="87"/>
      <c r="D353" s="87"/>
      <c r="E353" s="87"/>
      <c r="F353" s="87"/>
      <c r="G353" s="87"/>
      <c r="H353" s="87"/>
      <c r="I353" s="87"/>
      <c r="J353" s="89"/>
      <c r="K353" s="87"/>
      <c r="L353" s="87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89"/>
      <c r="BA353" s="89"/>
    </row>
    <row r="354" spans="1:53" ht="15.75" thickBot="1" x14ac:dyDescent="0.25">
      <c r="A354" s="245" t="str">
        <f t="shared" si="54"/>
        <v>sábado</v>
      </c>
      <c r="B354" s="87"/>
      <c r="C354" s="87"/>
      <c r="D354" s="87"/>
      <c r="E354" s="87"/>
      <c r="F354" s="87"/>
      <c r="G354" s="87"/>
      <c r="H354" s="87"/>
      <c r="I354" s="87"/>
      <c r="J354" s="89"/>
      <c r="K354" s="87"/>
      <c r="L354" s="87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89"/>
      <c r="BA354" s="89"/>
    </row>
    <row r="355" spans="1:53" ht="15.75" thickBot="1" x14ac:dyDescent="0.25">
      <c r="A355" s="245" t="str">
        <f t="shared" si="54"/>
        <v>sábado</v>
      </c>
      <c r="B355" s="87"/>
      <c r="C355" s="87"/>
      <c r="D355" s="87"/>
      <c r="E355" s="87"/>
      <c r="F355" s="87"/>
      <c r="G355" s="87"/>
      <c r="H355" s="87"/>
      <c r="I355" s="87"/>
      <c r="J355" s="89"/>
      <c r="K355" s="87"/>
      <c r="L355" s="87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89"/>
      <c r="BA355" s="89"/>
    </row>
    <row r="356" spans="1:53" ht="15.75" thickBot="1" x14ac:dyDescent="0.25">
      <c r="A356" s="245" t="str">
        <f t="shared" si="54"/>
        <v>sábado</v>
      </c>
      <c r="B356" s="87"/>
      <c r="C356" s="87"/>
      <c r="D356" s="87"/>
      <c r="E356" s="87"/>
      <c r="F356" s="87"/>
      <c r="G356" s="87"/>
      <c r="H356" s="87"/>
      <c r="I356" s="87"/>
      <c r="J356" s="89"/>
      <c r="K356" s="87"/>
      <c r="L356" s="87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89"/>
      <c r="BA356" s="89"/>
    </row>
    <row r="357" spans="1:53" ht="15.75" thickBot="1" x14ac:dyDescent="0.25">
      <c r="A357" s="245" t="str">
        <f t="shared" si="54"/>
        <v>sábado</v>
      </c>
      <c r="B357" s="87"/>
      <c r="C357" s="87"/>
      <c r="D357" s="87"/>
      <c r="E357" s="87"/>
      <c r="F357" s="87"/>
      <c r="G357" s="87"/>
      <c r="H357" s="87"/>
      <c r="I357" s="87"/>
      <c r="J357" s="89"/>
      <c r="K357" s="87"/>
      <c r="L357" s="87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89"/>
      <c r="BA357" s="89"/>
    </row>
    <row r="358" spans="1:53" ht="15.75" thickBot="1" x14ac:dyDescent="0.25">
      <c r="A358" s="245" t="str">
        <f t="shared" si="54"/>
        <v>sábado</v>
      </c>
      <c r="B358" s="87"/>
      <c r="C358" s="87"/>
      <c r="D358" s="87"/>
      <c r="E358" s="87"/>
      <c r="F358" s="87"/>
      <c r="G358" s="87"/>
      <c r="H358" s="87"/>
      <c r="I358" s="87"/>
      <c r="J358" s="89"/>
      <c r="K358" s="87"/>
      <c r="L358" s="87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89"/>
      <c r="BA358" s="89"/>
    </row>
    <row r="359" spans="1:53" ht="15.75" thickBot="1" x14ac:dyDescent="0.25">
      <c r="A359" s="245" t="str">
        <f t="shared" si="54"/>
        <v>sábado</v>
      </c>
      <c r="B359" s="87"/>
      <c r="C359" s="87"/>
      <c r="D359" s="87"/>
      <c r="E359" s="87"/>
      <c r="F359" s="87"/>
      <c r="G359" s="87"/>
      <c r="H359" s="87"/>
      <c r="I359" s="87"/>
      <c r="J359" s="89"/>
      <c r="K359" s="87"/>
      <c r="L359" s="87"/>
    </row>
    <row r="360" spans="1:53" ht="15.75" thickBot="1" x14ac:dyDescent="0.25">
      <c r="A360" s="245" t="str">
        <f t="shared" si="54"/>
        <v>sábado</v>
      </c>
      <c r="B360" s="87"/>
      <c r="C360" s="87"/>
      <c r="D360" s="87"/>
      <c r="E360" s="87"/>
      <c r="F360" s="87"/>
      <c r="G360" s="87"/>
      <c r="H360" s="87"/>
      <c r="I360" s="87"/>
      <c r="J360" s="89"/>
      <c r="K360" s="87"/>
      <c r="L360" s="87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89"/>
      <c r="BA360" s="89"/>
    </row>
    <row r="361" spans="1:53" ht="15.75" thickBot="1" x14ac:dyDescent="0.25">
      <c r="A361" s="245" t="str">
        <f t="shared" si="54"/>
        <v>sábado</v>
      </c>
      <c r="B361" s="87"/>
      <c r="C361" s="87"/>
      <c r="D361" s="87"/>
      <c r="E361" s="87"/>
      <c r="F361" s="87"/>
      <c r="G361" s="87"/>
      <c r="H361" s="87"/>
      <c r="I361" s="87"/>
      <c r="J361" s="89"/>
      <c r="K361" s="87"/>
      <c r="L361" s="87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89"/>
      <c r="BA361" s="89"/>
    </row>
    <row r="362" spans="1:53" ht="15.75" thickBot="1" x14ac:dyDescent="0.25">
      <c r="A362" s="245" t="str">
        <f t="shared" si="54"/>
        <v>sábado</v>
      </c>
      <c r="B362" s="87"/>
      <c r="C362" s="87"/>
      <c r="D362" s="87"/>
      <c r="E362" s="87"/>
      <c r="F362" s="87"/>
      <c r="G362" s="87"/>
      <c r="H362" s="87"/>
      <c r="I362" s="87"/>
      <c r="J362" s="89"/>
      <c r="K362" s="87"/>
      <c r="L362" s="87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89"/>
      <c r="BA362" s="89"/>
    </row>
    <row r="363" spans="1:53" ht="15.75" thickBot="1" x14ac:dyDescent="0.25">
      <c r="A363" s="245" t="str">
        <f t="shared" si="54"/>
        <v>sábado</v>
      </c>
      <c r="B363" s="87"/>
      <c r="C363" s="87"/>
      <c r="D363" s="87"/>
      <c r="E363" s="87"/>
      <c r="F363" s="87"/>
      <c r="G363" s="87"/>
      <c r="H363" s="87"/>
      <c r="I363" s="87"/>
      <c r="J363" s="89"/>
      <c r="K363" s="87"/>
      <c r="L363" s="87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89"/>
      <c r="BA363" s="89"/>
    </row>
    <row r="364" spans="1:53" ht="15.75" thickBot="1" x14ac:dyDescent="0.25">
      <c r="A364" s="245" t="str">
        <f t="shared" si="54"/>
        <v>sábado</v>
      </c>
      <c r="B364" s="87"/>
      <c r="C364" s="87"/>
      <c r="D364" s="87"/>
      <c r="E364" s="87"/>
      <c r="F364" s="87"/>
      <c r="G364" s="87"/>
      <c r="H364" s="87"/>
      <c r="I364" s="87"/>
      <c r="J364" s="89"/>
      <c r="K364" s="87"/>
      <c r="L364" s="87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89"/>
      <c r="BA364" s="89"/>
    </row>
    <row r="365" spans="1:53" ht="15.75" thickBot="1" x14ac:dyDescent="0.25">
      <c r="A365" s="245" t="str">
        <f t="shared" si="54"/>
        <v>sábado</v>
      </c>
      <c r="B365" s="87"/>
      <c r="C365" s="87"/>
      <c r="D365" s="87"/>
      <c r="E365" s="87"/>
      <c r="F365" s="87"/>
      <c r="G365" s="87"/>
      <c r="H365" s="87"/>
      <c r="I365" s="87"/>
      <c r="J365" s="89"/>
      <c r="K365" s="87"/>
      <c r="L365" s="87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89"/>
      <c r="BA365" s="89"/>
    </row>
    <row r="366" spans="1:53" ht="15.75" thickBot="1" x14ac:dyDescent="0.25">
      <c r="A366" s="245" t="str">
        <f t="shared" si="54"/>
        <v>sábado</v>
      </c>
      <c r="B366" s="87"/>
      <c r="C366" s="87"/>
      <c r="D366" s="87"/>
      <c r="E366" s="87"/>
      <c r="F366" s="87"/>
      <c r="G366" s="87"/>
      <c r="H366" s="87"/>
      <c r="I366" s="87"/>
      <c r="J366" s="89"/>
      <c r="K366" s="87"/>
      <c r="L366" s="87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89"/>
      <c r="BA366" s="89"/>
    </row>
    <row r="367" spans="1:53" ht="15.75" thickBot="1" x14ac:dyDescent="0.25">
      <c r="A367" s="245" t="str">
        <f t="shared" si="54"/>
        <v>sábado</v>
      </c>
      <c r="B367" s="87"/>
      <c r="C367" s="87"/>
      <c r="D367" s="87"/>
      <c r="E367" s="87"/>
      <c r="F367" s="87"/>
      <c r="G367" s="87"/>
      <c r="H367" s="87"/>
      <c r="I367" s="87"/>
      <c r="J367" s="89"/>
      <c r="K367" s="87"/>
      <c r="L367" s="87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89"/>
      <c r="BA367" s="89"/>
    </row>
    <row r="368" spans="1:53" ht="15.75" thickBot="1" x14ac:dyDescent="0.25">
      <c r="A368" s="245" t="str">
        <f t="shared" si="54"/>
        <v>sábado</v>
      </c>
      <c r="B368" s="87"/>
      <c r="C368" s="87"/>
      <c r="D368" s="87"/>
      <c r="E368" s="87"/>
      <c r="F368" s="87"/>
      <c r="G368" s="87"/>
      <c r="H368" s="87"/>
      <c r="I368" s="87"/>
      <c r="J368" s="89"/>
      <c r="K368" s="87"/>
      <c r="L368" s="87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89"/>
      <c r="BA368" s="89"/>
    </row>
    <row r="369" spans="1:53" ht="15.75" thickBot="1" x14ac:dyDescent="0.25">
      <c r="A369" s="245" t="str">
        <f t="shared" si="54"/>
        <v>sábado</v>
      </c>
      <c r="B369" s="87"/>
      <c r="C369" s="87"/>
      <c r="D369" s="87"/>
      <c r="E369" s="87"/>
      <c r="F369" s="87"/>
      <c r="G369" s="87"/>
      <c r="H369" s="87"/>
      <c r="I369" s="87"/>
      <c r="J369" s="89"/>
      <c r="K369" s="87"/>
      <c r="L369" s="87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89"/>
      <c r="BA369" s="89"/>
    </row>
    <row r="370" spans="1:53" ht="15.75" thickBot="1" x14ac:dyDescent="0.25">
      <c r="A370" s="245" t="str">
        <f t="shared" si="54"/>
        <v>sábado</v>
      </c>
      <c r="B370" s="87"/>
      <c r="C370" s="87"/>
      <c r="D370" s="87"/>
      <c r="E370" s="87"/>
      <c r="F370" s="87"/>
      <c r="G370" s="87"/>
      <c r="H370" s="87"/>
      <c r="I370" s="87"/>
      <c r="J370" s="89"/>
      <c r="K370" s="87"/>
      <c r="L370" s="87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</row>
    <row r="371" spans="1:53" ht="15.75" thickBot="1" x14ac:dyDescent="0.25">
      <c r="A371" s="245" t="str">
        <f t="shared" si="54"/>
        <v>sábado</v>
      </c>
      <c r="B371" s="87"/>
      <c r="C371" s="87"/>
      <c r="D371" s="87"/>
      <c r="E371" s="87"/>
      <c r="F371" s="87"/>
      <c r="G371" s="87"/>
      <c r="H371" s="87"/>
      <c r="I371" s="87"/>
      <c r="J371" s="89"/>
      <c r="K371" s="87"/>
      <c r="L371" s="87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89"/>
      <c r="BA371" s="89"/>
    </row>
    <row r="372" spans="1:53" ht="15.75" thickBot="1" x14ac:dyDescent="0.25">
      <c r="A372" s="245" t="str">
        <f t="shared" si="54"/>
        <v>sábado</v>
      </c>
      <c r="B372" s="87"/>
      <c r="C372" s="87"/>
      <c r="D372" s="87"/>
      <c r="E372" s="87"/>
      <c r="F372" s="87"/>
      <c r="G372" s="87"/>
      <c r="H372" s="87"/>
      <c r="I372" s="87"/>
      <c r="J372" s="89"/>
      <c r="K372" s="87"/>
      <c r="L372" s="87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89"/>
      <c r="BA372" s="89"/>
    </row>
    <row r="373" spans="1:53" ht="15.75" thickBot="1" x14ac:dyDescent="0.25">
      <c r="A373" s="245" t="str">
        <f t="shared" si="54"/>
        <v>sábado</v>
      </c>
      <c r="B373" s="87"/>
      <c r="C373" s="87"/>
      <c r="D373" s="87"/>
      <c r="E373" s="87"/>
      <c r="F373" s="87"/>
      <c r="G373" s="87"/>
      <c r="H373" s="87"/>
      <c r="I373" s="87"/>
      <c r="J373" s="89"/>
      <c r="K373" s="87"/>
      <c r="L373" s="87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89"/>
      <c r="BA373" s="89"/>
    </row>
    <row r="374" spans="1:53" ht="15.75" thickBot="1" x14ac:dyDescent="0.25">
      <c r="A374" s="245" t="str">
        <f t="shared" si="54"/>
        <v>sábado</v>
      </c>
      <c r="B374" s="87"/>
      <c r="C374" s="87"/>
      <c r="D374" s="87"/>
      <c r="E374" s="87"/>
      <c r="F374" s="87"/>
      <c r="G374" s="87"/>
      <c r="H374" s="87"/>
      <c r="I374" s="87"/>
      <c r="J374" s="89"/>
      <c r="K374" s="87"/>
      <c r="L374" s="87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</row>
    <row r="375" spans="1:53" ht="15.75" thickBot="1" x14ac:dyDescent="0.25">
      <c r="A375" s="245" t="str">
        <f t="shared" si="54"/>
        <v>sábado</v>
      </c>
      <c r="B375" s="87"/>
      <c r="C375" s="87"/>
      <c r="D375" s="87"/>
      <c r="E375" s="87"/>
      <c r="F375" s="87"/>
      <c r="G375" s="87"/>
      <c r="H375" s="87"/>
      <c r="I375" s="87"/>
      <c r="J375" s="89"/>
      <c r="K375" s="87"/>
      <c r="L375" s="87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</row>
    <row r="376" spans="1:53" ht="15.75" thickBot="1" x14ac:dyDescent="0.25">
      <c r="A376" s="245" t="str">
        <f t="shared" si="54"/>
        <v>sábado</v>
      </c>
      <c r="B376" s="87"/>
      <c r="C376" s="87"/>
      <c r="D376" s="87"/>
      <c r="E376" s="87"/>
      <c r="F376" s="87"/>
      <c r="G376" s="87"/>
      <c r="H376" s="87"/>
      <c r="I376" s="87"/>
      <c r="J376" s="89"/>
      <c r="K376" s="87"/>
      <c r="L376" s="87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89"/>
      <c r="BA376" s="89"/>
    </row>
    <row r="377" spans="1:53" ht="15.75" thickBot="1" x14ac:dyDescent="0.25">
      <c r="A377" s="245" t="str">
        <f t="shared" si="54"/>
        <v>sábado</v>
      </c>
      <c r="B377" s="87"/>
      <c r="C377" s="87"/>
      <c r="D377" s="87"/>
      <c r="E377" s="87"/>
      <c r="F377" s="87"/>
      <c r="G377" s="87"/>
      <c r="H377" s="87"/>
      <c r="I377" s="87"/>
      <c r="J377" s="89"/>
      <c r="K377" s="87"/>
      <c r="L377" s="87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89"/>
      <c r="BA377" s="89"/>
    </row>
    <row r="378" spans="1:53" ht="15.75" thickBot="1" x14ac:dyDescent="0.25">
      <c r="A378" s="245" t="str">
        <f t="shared" si="54"/>
        <v>sábado</v>
      </c>
      <c r="B378" s="87"/>
      <c r="C378" s="87"/>
      <c r="D378" s="87"/>
      <c r="E378" s="87"/>
      <c r="F378" s="87"/>
      <c r="G378" s="87"/>
      <c r="H378" s="87"/>
      <c r="I378" s="87"/>
      <c r="J378" s="89"/>
      <c r="K378" s="87"/>
      <c r="L378" s="87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89"/>
      <c r="BA378" s="89"/>
    </row>
    <row r="379" spans="1:53" ht="15.75" thickBot="1" x14ac:dyDescent="0.25">
      <c r="A379" s="245" t="str">
        <f t="shared" si="54"/>
        <v>sábado</v>
      </c>
      <c r="B379" s="87"/>
      <c r="C379" s="87"/>
      <c r="D379" s="87"/>
      <c r="E379" s="87"/>
      <c r="F379" s="87"/>
      <c r="G379" s="87"/>
      <c r="H379" s="87"/>
      <c r="I379" s="87"/>
      <c r="J379" s="89"/>
      <c r="K379" s="87"/>
      <c r="L379" s="87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89"/>
      <c r="BA379" s="89"/>
    </row>
    <row r="380" spans="1:53" ht="15.75" thickBot="1" x14ac:dyDescent="0.25">
      <c r="A380" s="245" t="str">
        <f t="shared" si="54"/>
        <v>sábado</v>
      </c>
      <c r="B380" s="87"/>
      <c r="C380" s="87"/>
      <c r="D380" s="87"/>
      <c r="E380" s="87"/>
      <c r="F380" s="87"/>
      <c r="G380" s="87"/>
      <c r="H380" s="87"/>
      <c r="I380" s="87"/>
      <c r="J380" s="89"/>
      <c r="K380" s="87"/>
      <c r="L380" s="87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89"/>
      <c r="BA380" s="89"/>
    </row>
    <row r="381" spans="1:53" ht="15.75" thickBot="1" x14ac:dyDescent="0.25">
      <c r="A381" s="245" t="str">
        <f t="shared" si="54"/>
        <v>sábado</v>
      </c>
      <c r="B381" s="87"/>
      <c r="C381" s="87"/>
      <c r="D381" s="87"/>
      <c r="E381" s="87"/>
      <c r="F381" s="87"/>
      <c r="G381" s="87"/>
      <c r="H381" s="87"/>
      <c r="I381" s="87"/>
      <c r="J381" s="89"/>
      <c r="K381" s="87"/>
      <c r="L381" s="87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89"/>
      <c r="BA381" s="89"/>
    </row>
    <row r="382" spans="1:53" ht="15.75" thickBot="1" x14ac:dyDescent="0.25">
      <c r="A382" s="245" t="str">
        <f t="shared" si="54"/>
        <v>sábado</v>
      </c>
      <c r="B382" s="87"/>
      <c r="C382" s="87"/>
      <c r="D382" s="87"/>
      <c r="E382" s="87"/>
      <c r="F382" s="87"/>
      <c r="G382" s="87"/>
      <c r="H382" s="87"/>
      <c r="I382" s="87"/>
      <c r="J382" s="89"/>
      <c r="K382" s="87"/>
      <c r="L382" s="87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89"/>
      <c r="BA382" s="89"/>
    </row>
    <row r="383" spans="1:53" ht="15.75" thickBot="1" x14ac:dyDescent="0.25">
      <c r="A383" s="245" t="str">
        <f t="shared" si="54"/>
        <v>sábado</v>
      </c>
      <c r="B383" s="87"/>
      <c r="C383" s="87"/>
      <c r="D383" s="87"/>
      <c r="E383" s="87"/>
      <c r="F383" s="87"/>
      <c r="G383" s="87"/>
      <c r="H383" s="87"/>
      <c r="I383" s="87"/>
      <c r="J383" s="89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9"/>
      <c r="BA383" s="89"/>
    </row>
    <row r="384" spans="1:53" ht="15.75" thickBot="1" x14ac:dyDescent="0.25">
      <c r="A384" s="245" t="str">
        <f t="shared" si="54"/>
        <v>sábado</v>
      </c>
      <c r="B384" s="87"/>
      <c r="C384" s="87"/>
      <c r="D384" s="87"/>
      <c r="E384" s="87"/>
      <c r="F384" s="87"/>
      <c r="G384" s="87"/>
      <c r="H384" s="87"/>
      <c r="I384" s="87"/>
      <c r="J384" s="89"/>
      <c r="K384" s="87"/>
      <c r="L384" s="87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89"/>
      <c r="BA384" s="89"/>
    </row>
    <row r="385" spans="1:53" ht="15.75" thickBot="1" x14ac:dyDescent="0.25">
      <c r="A385" s="245" t="str">
        <f t="shared" si="54"/>
        <v>sábado</v>
      </c>
      <c r="B385" s="87"/>
      <c r="C385" s="87"/>
      <c r="D385" s="87"/>
      <c r="E385" s="87"/>
      <c r="F385" s="87"/>
      <c r="G385" s="87"/>
      <c r="H385" s="87"/>
      <c r="I385" s="87"/>
      <c r="J385" s="89"/>
      <c r="K385" s="87"/>
      <c r="L385" s="87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89"/>
      <c r="BA385" s="89"/>
    </row>
    <row r="386" spans="1:53" ht="15.75" thickBot="1" x14ac:dyDescent="0.25">
      <c r="A386" s="245" t="str">
        <f t="shared" si="54"/>
        <v>sábado</v>
      </c>
      <c r="B386" s="87"/>
      <c r="C386" s="87"/>
      <c r="D386" s="87"/>
      <c r="E386" s="87"/>
      <c r="F386" s="87"/>
      <c r="G386" s="87"/>
      <c r="H386" s="87"/>
      <c r="I386" s="87"/>
      <c r="J386" s="89"/>
      <c r="K386" s="87"/>
      <c r="L386" s="87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89"/>
      <c r="BA386" s="89"/>
    </row>
    <row r="387" spans="1:53" ht="15.75" thickBot="1" x14ac:dyDescent="0.25">
      <c r="A387" s="245" t="str">
        <f t="shared" si="54"/>
        <v>sábado</v>
      </c>
      <c r="B387" s="87"/>
      <c r="C387" s="87"/>
      <c r="D387" s="87"/>
      <c r="E387" s="87"/>
      <c r="F387" s="87"/>
      <c r="G387" s="87"/>
      <c r="H387" s="87"/>
      <c r="I387" s="87"/>
      <c r="J387" s="89"/>
      <c r="K387" s="87"/>
      <c r="L387" s="87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89"/>
      <c r="BA387" s="89"/>
    </row>
    <row r="388" spans="1:53" ht="15.75" thickBot="1" x14ac:dyDescent="0.25">
      <c r="A388" s="245" t="str">
        <f t="shared" si="54"/>
        <v>sábado</v>
      </c>
      <c r="B388" s="87"/>
      <c r="C388" s="87"/>
      <c r="D388" s="87"/>
      <c r="E388" s="87"/>
      <c r="F388" s="87"/>
      <c r="G388" s="87"/>
      <c r="H388" s="87"/>
      <c r="I388" s="87"/>
      <c r="J388" s="89"/>
      <c r="K388" s="87"/>
      <c r="L388" s="87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89"/>
      <c r="BA388" s="89"/>
    </row>
    <row r="389" spans="1:53" ht="15.75" thickBot="1" x14ac:dyDescent="0.25">
      <c r="A389" s="245" t="str">
        <f t="shared" si="54"/>
        <v>sábado</v>
      </c>
      <c r="B389" s="87"/>
      <c r="C389" s="87"/>
      <c r="D389" s="87"/>
      <c r="E389" s="87"/>
      <c r="F389" s="87"/>
      <c r="G389" s="87"/>
      <c r="H389" s="87"/>
      <c r="I389" s="87"/>
      <c r="J389" s="89"/>
      <c r="K389" s="87"/>
      <c r="L389" s="87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89"/>
      <c r="BA389" s="89"/>
    </row>
    <row r="390" spans="1:53" ht="15.75" thickBot="1" x14ac:dyDescent="0.25">
      <c r="A390" s="245" t="str">
        <f t="shared" si="54"/>
        <v>sábado</v>
      </c>
      <c r="B390" s="87"/>
      <c r="C390" s="87"/>
      <c r="D390" s="87"/>
      <c r="E390" s="87"/>
      <c r="F390" s="87"/>
      <c r="G390" s="87"/>
      <c r="H390" s="87"/>
      <c r="I390" s="87"/>
      <c r="J390" s="89"/>
      <c r="K390" s="87"/>
      <c r="L390" s="87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89"/>
      <c r="BA390" s="89"/>
    </row>
    <row r="391" spans="1:53" ht="15.75" thickBot="1" x14ac:dyDescent="0.25">
      <c r="A391" s="245" t="str">
        <f t="shared" ref="A391:A454" si="55">+TEXT(B391,"dddd")</f>
        <v>sábado</v>
      </c>
      <c r="B391" s="87"/>
      <c r="C391" s="87"/>
      <c r="D391" s="87"/>
      <c r="E391" s="87"/>
      <c r="F391" s="87"/>
      <c r="G391" s="87"/>
      <c r="H391" s="87"/>
      <c r="I391" s="87"/>
      <c r="J391" s="89"/>
      <c r="K391" s="87"/>
      <c r="L391" s="87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89"/>
      <c r="BA391" s="89"/>
    </row>
    <row r="392" spans="1:53" ht="15.75" thickBot="1" x14ac:dyDescent="0.25">
      <c r="A392" s="245" t="str">
        <f t="shared" si="55"/>
        <v>sábado</v>
      </c>
      <c r="B392" s="87"/>
      <c r="C392" s="87"/>
      <c r="D392" s="87"/>
      <c r="E392" s="87"/>
      <c r="F392" s="87"/>
      <c r="G392" s="87"/>
      <c r="H392" s="87"/>
      <c r="I392" s="87"/>
      <c r="J392" s="89"/>
      <c r="K392" s="87"/>
      <c r="L392" s="87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89"/>
      <c r="BA392" s="89"/>
    </row>
    <row r="393" spans="1:53" ht="15.75" thickBot="1" x14ac:dyDescent="0.25">
      <c r="A393" s="245" t="str">
        <f t="shared" si="55"/>
        <v>sábado</v>
      </c>
      <c r="B393" s="87"/>
      <c r="C393" s="87"/>
      <c r="D393" s="87"/>
      <c r="E393" s="87"/>
      <c r="F393" s="87"/>
      <c r="G393" s="87"/>
      <c r="H393" s="87"/>
      <c r="I393" s="87"/>
      <c r="J393" s="89"/>
      <c r="K393" s="87"/>
      <c r="L393" s="87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89"/>
      <c r="BA393" s="89"/>
    </row>
    <row r="394" spans="1:53" ht="15.75" thickBot="1" x14ac:dyDescent="0.25">
      <c r="A394" s="245" t="str">
        <f t="shared" si="55"/>
        <v>sábado</v>
      </c>
      <c r="B394" s="87"/>
      <c r="C394" s="87"/>
      <c r="D394" s="87"/>
      <c r="E394" s="87"/>
      <c r="F394" s="87"/>
      <c r="G394" s="87"/>
      <c r="H394" s="87"/>
      <c r="I394" s="87"/>
      <c r="J394" s="89"/>
      <c r="K394" s="87"/>
      <c r="L394" s="87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89"/>
      <c r="BA394" s="89"/>
    </row>
    <row r="395" spans="1:53" ht="15.75" thickBot="1" x14ac:dyDescent="0.25">
      <c r="A395" s="245" t="str">
        <f t="shared" si="55"/>
        <v>sábado</v>
      </c>
      <c r="B395" s="87"/>
      <c r="C395" s="87"/>
      <c r="D395" s="87"/>
      <c r="E395" s="87"/>
      <c r="F395" s="87"/>
      <c r="G395" s="87"/>
      <c r="H395" s="87"/>
      <c r="I395" s="87"/>
      <c r="J395" s="89"/>
      <c r="K395" s="87"/>
      <c r="L395" s="87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89"/>
      <c r="BA395" s="89"/>
    </row>
    <row r="396" spans="1:53" ht="15.75" thickBot="1" x14ac:dyDescent="0.25">
      <c r="A396" s="245" t="str">
        <f t="shared" si="55"/>
        <v>sábado</v>
      </c>
      <c r="B396" s="87"/>
      <c r="C396" s="87"/>
      <c r="D396" s="87"/>
      <c r="E396" s="87"/>
      <c r="F396" s="87"/>
      <c r="G396" s="87"/>
      <c r="H396" s="87"/>
      <c r="I396" s="87"/>
      <c r="J396" s="89"/>
      <c r="K396" s="87"/>
      <c r="L396" s="87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89"/>
      <c r="BA396" s="89"/>
    </row>
    <row r="397" spans="1:53" ht="15.75" thickBot="1" x14ac:dyDescent="0.25">
      <c r="A397" s="245" t="str">
        <f t="shared" si="55"/>
        <v>sábado</v>
      </c>
      <c r="B397" s="87"/>
      <c r="C397" s="87"/>
      <c r="D397" s="87"/>
      <c r="E397" s="87"/>
      <c r="F397" s="87"/>
      <c r="G397" s="87"/>
      <c r="H397" s="87"/>
      <c r="I397" s="87"/>
      <c r="J397" s="89"/>
      <c r="K397" s="87"/>
      <c r="L397" s="87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89"/>
      <c r="BA397" s="89"/>
    </row>
    <row r="398" spans="1:53" ht="15.75" thickBot="1" x14ac:dyDescent="0.25">
      <c r="A398" s="245" t="str">
        <f t="shared" si="55"/>
        <v>sábado</v>
      </c>
      <c r="B398" s="87"/>
      <c r="C398" s="87"/>
      <c r="D398" s="87"/>
      <c r="E398" s="87"/>
      <c r="F398" s="87"/>
      <c r="G398" s="87"/>
      <c r="H398" s="87"/>
      <c r="I398" s="87"/>
      <c r="J398" s="89"/>
      <c r="K398" s="87"/>
      <c r="L398" s="87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89"/>
      <c r="BA398" s="89"/>
    </row>
    <row r="399" spans="1:53" ht="15.75" thickBot="1" x14ac:dyDescent="0.25">
      <c r="A399" s="245" t="str">
        <f t="shared" si="55"/>
        <v>sábado</v>
      </c>
      <c r="B399" s="87"/>
      <c r="C399" s="87"/>
      <c r="D399" s="87"/>
      <c r="E399" s="87"/>
      <c r="F399" s="87"/>
      <c r="G399" s="87"/>
      <c r="H399" s="87"/>
      <c r="I399" s="87"/>
      <c r="J399" s="89"/>
      <c r="K399" s="87"/>
      <c r="L399" s="87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</row>
    <row r="400" spans="1:53" ht="15.75" thickBot="1" x14ac:dyDescent="0.25">
      <c r="A400" s="245" t="str">
        <f t="shared" si="55"/>
        <v>sábado</v>
      </c>
      <c r="B400" s="87"/>
      <c r="C400" s="87"/>
      <c r="D400" s="87"/>
      <c r="E400" s="87"/>
      <c r="F400" s="87"/>
      <c r="G400" s="87"/>
      <c r="H400" s="87"/>
      <c r="I400" s="87"/>
      <c r="J400" s="89"/>
      <c r="K400" s="87"/>
      <c r="L400" s="87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</row>
    <row r="401" spans="1:53" ht="15.75" thickBot="1" x14ac:dyDescent="0.25">
      <c r="A401" s="245" t="str">
        <f t="shared" si="55"/>
        <v>sábado</v>
      </c>
      <c r="B401" s="87"/>
      <c r="C401" s="87"/>
      <c r="D401" s="87"/>
      <c r="E401" s="87"/>
      <c r="F401" s="87"/>
      <c r="G401" s="87"/>
      <c r="H401" s="87"/>
      <c r="I401" s="87"/>
      <c r="J401" s="89"/>
      <c r="K401" s="87"/>
      <c r="L401" s="87"/>
    </row>
    <row r="402" spans="1:53" ht="15.75" thickBot="1" x14ac:dyDescent="0.25">
      <c r="A402" s="245" t="str">
        <f t="shared" si="55"/>
        <v>sábado</v>
      </c>
      <c r="B402" s="87"/>
      <c r="C402" s="87"/>
      <c r="D402" s="87"/>
      <c r="E402" s="87"/>
      <c r="F402" s="87"/>
      <c r="G402" s="87"/>
      <c r="H402" s="87"/>
      <c r="I402" s="87"/>
      <c r="J402" s="89"/>
      <c r="K402" s="87"/>
      <c r="L402" s="87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89"/>
      <c r="BA402" s="89"/>
    </row>
    <row r="403" spans="1:53" ht="15.75" thickBot="1" x14ac:dyDescent="0.25">
      <c r="A403" s="245" t="str">
        <f t="shared" si="55"/>
        <v>sábado</v>
      </c>
      <c r="B403" s="87"/>
      <c r="C403" s="87"/>
      <c r="D403" s="87"/>
      <c r="E403" s="87"/>
      <c r="F403" s="87"/>
      <c r="G403" s="87"/>
      <c r="H403" s="87"/>
      <c r="I403" s="87"/>
      <c r="J403" s="89"/>
      <c r="K403" s="87"/>
      <c r="L403" s="87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</row>
    <row r="404" spans="1:53" ht="15.75" thickBot="1" x14ac:dyDescent="0.25">
      <c r="A404" s="245" t="str">
        <f t="shared" si="55"/>
        <v>sábado</v>
      </c>
      <c r="B404" s="87"/>
      <c r="C404" s="87"/>
      <c r="D404" s="87"/>
      <c r="E404" s="87"/>
      <c r="F404" s="87"/>
      <c r="G404" s="87"/>
      <c r="H404" s="87"/>
      <c r="I404" s="87"/>
      <c r="J404" s="89"/>
      <c r="K404" s="87"/>
      <c r="L404" s="87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89"/>
      <c r="BA404" s="89"/>
    </row>
    <row r="405" spans="1:53" ht="15.75" thickBot="1" x14ac:dyDescent="0.25">
      <c r="A405" s="245" t="str">
        <f t="shared" si="55"/>
        <v>sábado</v>
      </c>
      <c r="B405" s="87"/>
      <c r="C405" s="87"/>
      <c r="D405" s="87"/>
      <c r="E405" s="87"/>
      <c r="F405" s="87"/>
      <c r="G405" s="87"/>
      <c r="H405" s="87"/>
      <c r="I405" s="87"/>
      <c r="J405" s="89"/>
      <c r="K405" s="87"/>
      <c r="L405" s="87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</row>
    <row r="406" spans="1:53" ht="15.75" thickBot="1" x14ac:dyDescent="0.25">
      <c r="A406" s="245" t="str">
        <f t="shared" si="55"/>
        <v>sábado</v>
      </c>
      <c r="B406" s="87"/>
      <c r="C406" s="87"/>
      <c r="D406" s="87"/>
      <c r="E406" s="87"/>
      <c r="F406" s="87"/>
      <c r="G406" s="87"/>
      <c r="H406" s="87"/>
      <c r="I406" s="87"/>
      <c r="J406" s="89"/>
      <c r="K406" s="87"/>
      <c r="L406" s="87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</row>
    <row r="407" spans="1:53" ht="15.75" thickBot="1" x14ac:dyDescent="0.25">
      <c r="A407" s="245" t="str">
        <f t="shared" si="55"/>
        <v>sábado</v>
      </c>
      <c r="B407" s="87"/>
      <c r="C407" s="87"/>
      <c r="D407" s="87"/>
      <c r="E407" s="87"/>
      <c r="F407" s="87"/>
      <c r="G407" s="87"/>
      <c r="H407" s="87"/>
      <c r="I407" s="87"/>
      <c r="J407" s="89"/>
      <c r="K407" s="87"/>
      <c r="L407" s="87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89"/>
      <c r="BA407" s="89"/>
    </row>
    <row r="408" spans="1:53" ht="15.75" thickBot="1" x14ac:dyDescent="0.25">
      <c r="A408" s="245" t="str">
        <f t="shared" si="55"/>
        <v>sábado</v>
      </c>
      <c r="B408" s="87"/>
      <c r="C408" s="87"/>
      <c r="D408" s="87"/>
      <c r="E408" s="87"/>
      <c r="F408" s="87"/>
      <c r="G408" s="87"/>
      <c r="H408" s="87"/>
      <c r="I408" s="87"/>
      <c r="J408" s="89"/>
      <c r="K408" s="87"/>
      <c r="L408" s="87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</row>
    <row r="409" spans="1:53" ht="15.75" thickBot="1" x14ac:dyDescent="0.25">
      <c r="A409" s="245" t="str">
        <f t="shared" si="55"/>
        <v>sábado</v>
      </c>
      <c r="B409" s="87"/>
      <c r="C409" s="87"/>
      <c r="D409" s="87"/>
      <c r="E409" s="87"/>
      <c r="F409" s="87"/>
      <c r="G409" s="87"/>
      <c r="H409" s="87"/>
      <c r="I409" s="87"/>
      <c r="J409" s="89"/>
      <c r="K409" s="87"/>
      <c r="L409" s="87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</row>
    <row r="410" spans="1:53" ht="15.75" thickBot="1" x14ac:dyDescent="0.25">
      <c r="A410" s="245" t="str">
        <f t="shared" si="55"/>
        <v>sábado</v>
      </c>
      <c r="B410" s="87"/>
      <c r="C410" s="87"/>
      <c r="D410" s="87"/>
      <c r="E410" s="87"/>
      <c r="F410" s="87"/>
      <c r="G410" s="87"/>
      <c r="H410" s="87"/>
      <c r="I410" s="87"/>
      <c r="J410" s="89"/>
      <c r="K410" s="87"/>
      <c r="L410" s="87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</row>
    <row r="411" spans="1:53" ht="15.75" thickBot="1" x14ac:dyDescent="0.25">
      <c r="A411" s="245" t="str">
        <f t="shared" si="55"/>
        <v>sábado</v>
      </c>
      <c r="B411" s="87"/>
      <c r="C411" s="87"/>
      <c r="D411" s="87"/>
      <c r="E411" s="87"/>
      <c r="F411" s="87"/>
      <c r="G411" s="87"/>
      <c r="H411" s="87"/>
      <c r="I411" s="87"/>
      <c r="J411" s="89"/>
      <c r="K411" s="87"/>
      <c r="L411" s="87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89"/>
      <c r="BA411" s="89"/>
    </row>
    <row r="412" spans="1:53" ht="15.75" thickBot="1" x14ac:dyDescent="0.25">
      <c r="A412" s="245" t="str">
        <f t="shared" si="55"/>
        <v>sábado</v>
      </c>
      <c r="B412" s="87"/>
      <c r="C412" s="87"/>
      <c r="D412" s="87"/>
      <c r="E412" s="87"/>
      <c r="F412" s="87"/>
      <c r="G412" s="87"/>
      <c r="H412" s="87"/>
      <c r="I412" s="87"/>
      <c r="J412" s="89"/>
      <c r="K412" s="87"/>
      <c r="L412" s="87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89"/>
      <c r="BA412" s="89"/>
    </row>
    <row r="413" spans="1:53" ht="15.75" thickBot="1" x14ac:dyDescent="0.25">
      <c r="A413" s="245" t="str">
        <f t="shared" si="55"/>
        <v>sábado</v>
      </c>
      <c r="B413" s="87"/>
      <c r="C413" s="87"/>
      <c r="D413" s="87"/>
      <c r="E413" s="87"/>
      <c r="F413" s="87"/>
      <c r="G413" s="87"/>
      <c r="H413" s="87"/>
      <c r="I413" s="87"/>
      <c r="J413" s="89"/>
      <c r="K413" s="87"/>
      <c r="L413" s="87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</row>
    <row r="414" spans="1:53" ht="15.75" thickBot="1" x14ac:dyDescent="0.25">
      <c r="A414" s="245" t="str">
        <f t="shared" si="55"/>
        <v>sábado</v>
      </c>
      <c r="B414" s="87"/>
      <c r="C414" s="87"/>
      <c r="D414" s="87"/>
      <c r="E414" s="87"/>
      <c r="F414" s="87"/>
      <c r="G414" s="87"/>
      <c r="H414" s="87"/>
      <c r="I414" s="87"/>
      <c r="J414" s="89"/>
      <c r="K414" s="87"/>
      <c r="L414" s="87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9"/>
      <c r="BA414" s="89"/>
    </row>
    <row r="415" spans="1:53" ht="15.75" thickBot="1" x14ac:dyDescent="0.25">
      <c r="A415" s="245" t="str">
        <f t="shared" si="55"/>
        <v>sábado</v>
      </c>
      <c r="B415" s="87"/>
      <c r="C415" s="87"/>
      <c r="D415" s="87"/>
      <c r="E415" s="87"/>
      <c r="F415" s="87"/>
      <c r="G415" s="87"/>
      <c r="H415" s="87"/>
      <c r="I415" s="87"/>
      <c r="J415" s="89"/>
      <c r="K415" s="87"/>
      <c r="L415" s="87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</row>
    <row r="416" spans="1:53" ht="15.75" thickBot="1" x14ac:dyDescent="0.25">
      <c r="A416" s="245" t="str">
        <f t="shared" si="55"/>
        <v>sábado</v>
      </c>
      <c r="B416" s="87"/>
      <c r="C416" s="87"/>
      <c r="D416" s="87"/>
      <c r="E416" s="87"/>
      <c r="F416" s="87"/>
      <c r="G416" s="87"/>
      <c r="H416" s="87"/>
      <c r="I416" s="87"/>
      <c r="J416" s="89"/>
      <c r="K416" s="87"/>
      <c r="L416" s="87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89"/>
      <c r="BA416" s="89"/>
    </row>
    <row r="417" spans="1:53" ht="15.75" thickBot="1" x14ac:dyDescent="0.25">
      <c r="A417" s="245" t="str">
        <f t="shared" si="55"/>
        <v>sábado</v>
      </c>
      <c r="B417" s="87"/>
      <c r="C417" s="87"/>
      <c r="D417" s="87"/>
      <c r="E417" s="87"/>
      <c r="F417" s="87"/>
      <c r="G417" s="87"/>
      <c r="H417" s="87"/>
      <c r="I417" s="87"/>
      <c r="J417" s="89"/>
      <c r="K417" s="87"/>
      <c r="L417" s="87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</row>
    <row r="418" spans="1:53" ht="15.75" thickBot="1" x14ac:dyDescent="0.25">
      <c r="A418" s="245" t="str">
        <f t="shared" si="55"/>
        <v>sábado</v>
      </c>
      <c r="B418" s="87"/>
      <c r="C418" s="87"/>
      <c r="D418" s="87"/>
      <c r="E418" s="87"/>
      <c r="F418" s="87"/>
      <c r="G418" s="87"/>
      <c r="H418" s="87"/>
      <c r="I418" s="87"/>
      <c r="J418" s="89"/>
      <c r="K418" s="87"/>
      <c r="L418" s="87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</row>
    <row r="419" spans="1:53" ht="15.75" thickBot="1" x14ac:dyDescent="0.25">
      <c r="A419" s="245" t="str">
        <f t="shared" si="55"/>
        <v>sábado</v>
      </c>
      <c r="B419" s="87"/>
      <c r="C419" s="87"/>
      <c r="D419" s="87"/>
      <c r="E419" s="87"/>
      <c r="F419" s="87"/>
      <c r="G419" s="87"/>
      <c r="H419" s="87"/>
      <c r="I419" s="87"/>
      <c r="J419" s="89"/>
      <c r="K419" s="87"/>
      <c r="L419" s="87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</row>
    <row r="420" spans="1:53" ht="15.75" thickBot="1" x14ac:dyDescent="0.25">
      <c r="A420" s="245" t="str">
        <f t="shared" si="55"/>
        <v>sábado</v>
      </c>
      <c r="B420" s="87"/>
      <c r="C420" s="87"/>
      <c r="D420" s="87"/>
      <c r="E420" s="87"/>
      <c r="F420" s="87"/>
      <c r="G420" s="87"/>
      <c r="H420" s="87"/>
      <c r="I420" s="87"/>
      <c r="J420" s="89"/>
      <c r="K420" s="87"/>
      <c r="L420" s="87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</row>
    <row r="421" spans="1:53" ht="15.75" thickBot="1" x14ac:dyDescent="0.25">
      <c r="A421" s="245" t="str">
        <f t="shared" si="55"/>
        <v>sábado</v>
      </c>
      <c r="B421" s="87"/>
      <c r="C421" s="87"/>
      <c r="D421" s="87"/>
      <c r="E421" s="87"/>
      <c r="F421" s="87"/>
      <c r="G421" s="87"/>
      <c r="H421" s="87"/>
      <c r="I421" s="87"/>
      <c r="J421" s="89"/>
      <c r="K421" s="87"/>
      <c r="L421" s="87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</row>
    <row r="422" spans="1:53" ht="15.75" thickBot="1" x14ac:dyDescent="0.25">
      <c r="A422" s="245" t="str">
        <f t="shared" si="55"/>
        <v>sábado</v>
      </c>
      <c r="B422" s="87"/>
      <c r="C422" s="87"/>
      <c r="D422" s="87"/>
      <c r="E422" s="87"/>
      <c r="F422" s="87"/>
      <c r="G422" s="87"/>
      <c r="H422" s="87"/>
      <c r="I422" s="87"/>
      <c r="J422" s="89"/>
      <c r="K422" s="87"/>
      <c r="L422" s="87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</row>
    <row r="423" spans="1:53" ht="15.75" thickBot="1" x14ac:dyDescent="0.25">
      <c r="A423" s="245" t="str">
        <f t="shared" si="55"/>
        <v>sábado</v>
      </c>
      <c r="B423" s="87"/>
      <c r="C423" s="87"/>
      <c r="D423" s="87"/>
      <c r="E423" s="87"/>
      <c r="F423" s="87"/>
      <c r="G423" s="87"/>
      <c r="H423" s="87"/>
      <c r="I423" s="87"/>
      <c r="J423" s="89"/>
      <c r="K423" s="87"/>
      <c r="L423" s="87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</row>
    <row r="424" spans="1:53" ht="15.75" thickBot="1" x14ac:dyDescent="0.25">
      <c r="A424" s="245" t="str">
        <f t="shared" si="55"/>
        <v>sábado</v>
      </c>
      <c r="B424" s="87"/>
      <c r="C424" s="87"/>
      <c r="D424" s="87"/>
      <c r="E424" s="87"/>
      <c r="F424" s="87"/>
      <c r="G424" s="87"/>
      <c r="H424" s="87"/>
      <c r="I424" s="87"/>
      <c r="J424" s="89"/>
      <c r="K424" s="87"/>
      <c r="L424" s="87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</row>
    <row r="425" spans="1:53" ht="15.75" thickBot="1" x14ac:dyDescent="0.25">
      <c r="A425" s="245" t="str">
        <f t="shared" si="55"/>
        <v>sábado</v>
      </c>
      <c r="B425" s="87"/>
      <c r="C425" s="87"/>
      <c r="D425" s="87"/>
      <c r="E425" s="87"/>
      <c r="F425" s="87"/>
      <c r="G425" s="87"/>
      <c r="H425" s="87"/>
      <c r="I425" s="87"/>
      <c r="J425" s="89"/>
      <c r="K425" s="87"/>
      <c r="L425" s="87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</row>
    <row r="426" spans="1:53" ht="15.75" thickBot="1" x14ac:dyDescent="0.25">
      <c r="A426" s="245" t="str">
        <f t="shared" si="55"/>
        <v>sábado</v>
      </c>
      <c r="B426" s="87"/>
      <c r="C426" s="87"/>
      <c r="D426" s="87"/>
      <c r="E426" s="87"/>
      <c r="F426" s="87"/>
      <c r="G426" s="87"/>
      <c r="H426" s="87"/>
      <c r="I426" s="87"/>
      <c r="J426" s="89"/>
      <c r="K426" s="87"/>
      <c r="L426" s="87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</row>
    <row r="427" spans="1:53" ht="15.75" thickBot="1" x14ac:dyDescent="0.25">
      <c r="A427" s="245" t="str">
        <f t="shared" si="55"/>
        <v>sábado</v>
      </c>
      <c r="B427" s="87"/>
      <c r="C427" s="87"/>
      <c r="D427" s="87"/>
      <c r="E427" s="87"/>
      <c r="F427" s="87"/>
      <c r="G427" s="87"/>
      <c r="H427" s="87"/>
      <c r="I427" s="87"/>
      <c r="J427" s="89"/>
      <c r="K427" s="87"/>
      <c r="L427" s="87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</row>
    <row r="428" spans="1:53" ht="15.75" thickBot="1" x14ac:dyDescent="0.25">
      <c r="A428" s="245" t="str">
        <f t="shared" si="55"/>
        <v>sábado</v>
      </c>
      <c r="B428" s="87"/>
      <c r="C428" s="87"/>
      <c r="D428" s="87"/>
      <c r="E428" s="87">
        <v>0</v>
      </c>
      <c r="F428" s="87"/>
      <c r="G428" s="87">
        <v>0</v>
      </c>
      <c r="H428" s="87">
        <v>0</v>
      </c>
      <c r="I428" s="87"/>
      <c r="J428" s="89"/>
      <c r="K428" s="87"/>
      <c r="L428" s="87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</row>
    <row r="429" spans="1:53" ht="15.75" thickBot="1" x14ac:dyDescent="0.25">
      <c r="A429" s="245" t="str">
        <f t="shared" si="55"/>
        <v>sábado</v>
      </c>
      <c r="B429" s="87"/>
      <c r="C429" s="87"/>
      <c r="D429" s="87"/>
      <c r="E429" s="87"/>
      <c r="F429" s="87"/>
      <c r="G429" s="87"/>
      <c r="H429" s="87"/>
      <c r="I429" s="87"/>
      <c r="J429" s="89"/>
      <c r="K429" s="87"/>
      <c r="L429" s="87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</row>
    <row r="430" spans="1:53" ht="15.75" thickBot="1" x14ac:dyDescent="0.25">
      <c r="A430" s="245" t="str">
        <f t="shared" si="55"/>
        <v>sábado</v>
      </c>
      <c r="B430" s="87"/>
      <c r="C430" s="87"/>
      <c r="D430" s="87"/>
      <c r="E430" s="87"/>
      <c r="F430" s="87"/>
      <c r="G430" s="87"/>
      <c r="H430" s="87"/>
      <c r="I430" s="87"/>
      <c r="J430" s="89"/>
      <c r="K430" s="87"/>
      <c r="L430" s="87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</row>
    <row r="431" spans="1:53" ht="15.75" thickBot="1" x14ac:dyDescent="0.25">
      <c r="A431" s="245" t="str">
        <f t="shared" si="55"/>
        <v>sábado</v>
      </c>
      <c r="B431" s="87"/>
      <c r="C431" s="87"/>
      <c r="D431" s="87"/>
      <c r="E431" s="87"/>
      <c r="F431" s="87"/>
      <c r="G431" s="87"/>
      <c r="H431" s="87"/>
      <c r="I431" s="87"/>
      <c r="J431" s="89"/>
      <c r="K431" s="87"/>
      <c r="L431" s="87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</row>
    <row r="432" spans="1:53" ht="15.75" thickBot="1" x14ac:dyDescent="0.25">
      <c r="A432" s="245" t="str">
        <f t="shared" si="55"/>
        <v>sábado</v>
      </c>
      <c r="B432" s="87"/>
      <c r="C432" s="87"/>
      <c r="D432" s="87"/>
      <c r="E432" s="87"/>
      <c r="F432" s="87"/>
      <c r="G432" s="87"/>
      <c r="H432" s="87"/>
      <c r="I432" s="87"/>
      <c r="J432" s="89"/>
      <c r="K432" s="87"/>
      <c r="L432" s="87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89"/>
      <c r="BA432" s="89"/>
    </row>
    <row r="433" spans="1:53" ht="15.75" thickBot="1" x14ac:dyDescent="0.25">
      <c r="A433" s="245" t="str">
        <f t="shared" si="55"/>
        <v>sábado</v>
      </c>
      <c r="B433" s="87"/>
      <c r="C433" s="87"/>
      <c r="D433" s="87"/>
      <c r="E433" s="87"/>
      <c r="F433" s="87"/>
      <c r="G433" s="87"/>
      <c r="H433" s="87"/>
      <c r="I433" s="87"/>
      <c r="J433" s="89"/>
      <c r="K433" s="87"/>
      <c r="L433" s="87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</row>
    <row r="434" spans="1:53" ht="15.75" thickBot="1" x14ac:dyDescent="0.25">
      <c r="A434" s="245" t="str">
        <f t="shared" si="55"/>
        <v>sábado</v>
      </c>
      <c r="B434" s="87"/>
      <c r="C434" s="87"/>
      <c r="D434" s="87"/>
      <c r="E434" s="87"/>
      <c r="F434" s="87"/>
      <c r="G434" s="87"/>
      <c r="H434" s="87"/>
      <c r="I434" s="87"/>
      <c r="J434" s="89"/>
      <c r="K434" s="87"/>
      <c r="L434" s="87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</row>
    <row r="435" spans="1:53" ht="15.75" thickBot="1" x14ac:dyDescent="0.25">
      <c r="A435" s="245" t="str">
        <f t="shared" si="55"/>
        <v>sábado</v>
      </c>
      <c r="B435" s="87"/>
      <c r="C435" s="87"/>
      <c r="D435" s="87"/>
      <c r="E435" s="87"/>
      <c r="F435" s="87"/>
      <c r="G435" s="87"/>
      <c r="H435" s="87"/>
      <c r="I435" s="87"/>
      <c r="J435" s="89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9"/>
      <c r="BA435" s="89"/>
    </row>
    <row r="436" spans="1:53" ht="15.75" thickBot="1" x14ac:dyDescent="0.25">
      <c r="A436" s="245" t="str">
        <f t="shared" si="55"/>
        <v>sábado</v>
      </c>
      <c r="B436" s="87"/>
      <c r="C436" s="87"/>
      <c r="D436" s="87"/>
      <c r="E436" s="87"/>
      <c r="F436" s="87"/>
      <c r="G436" s="87"/>
      <c r="H436" s="87"/>
      <c r="I436" s="87"/>
      <c r="J436" s="89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9"/>
      <c r="BA436" s="89"/>
    </row>
    <row r="437" spans="1:53" ht="15.75" thickBot="1" x14ac:dyDescent="0.25">
      <c r="A437" s="245" t="str">
        <f t="shared" si="55"/>
        <v>sábado</v>
      </c>
      <c r="B437" s="87"/>
      <c r="C437" s="87"/>
      <c r="D437" s="87"/>
      <c r="E437" s="87"/>
      <c r="F437" s="87"/>
      <c r="G437" s="87"/>
      <c r="H437" s="87"/>
      <c r="I437" s="87"/>
      <c r="J437" s="89"/>
      <c r="K437" s="87"/>
      <c r="L437" s="87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</row>
    <row r="438" spans="1:53" ht="15.75" thickBot="1" x14ac:dyDescent="0.25">
      <c r="A438" s="245" t="str">
        <f t="shared" si="55"/>
        <v>sábado</v>
      </c>
      <c r="B438" s="87"/>
      <c r="C438" s="87"/>
      <c r="D438" s="87"/>
      <c r="E438" s="87"/>
      <c r="F438" s="87"/>
      <c r="G438" s="87"/>
      <c r="H438" s="87"/>
      <c r="I438" s="87"/>
      <c r="J438" s="89"/>
      <c r="K438" s="87"/>
      <c r="L438" s="87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89"/>
      <c r="BA438" s="89"/>
    </row>
    <row r="439" spans="1:53" ht="15.75" thickBot="1" x14ac:dyDescent="0.25">
      <c r="A439" s="245" t="str">
        <f t="shared" si="55"/>
        <v>sábado</v>
      </c>
      <c r="B439" s="87"/>
      <c r="C439" s="87"/>
      <c r="D439" s="87"/>
      <c r="E439" s="87"/>
      <c r="F439" s="87"/>
      <c r="G439" s="87"/>
      <c r="H439" s="87"/>
      <c r="I439" s="87"/>
      <c r="J439" s="89"/>
      <c r="K439" s="87"/>
      <c r="L439" s="87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</row>
    <row r="440" spans="1:53" ht="15.75" thickBot="1" x14ac:dyDescent="0.25">
      <c r="A440" s="245" t="str">
        <f t="shared" si="55"/>
        <v>sábado</v>
      </c>
      <c r="B440" s="87"/>
      <c r="C440" s="87"/>
      <c r="D440" s="87"/>
      <c r="E440" s="87"/>
      <c r="F440" s="87"/>
      <c r="G440" s="87"/>
      <c r="H440" s="87"/>
      <c r="I440" s="87"/>
      <c r="J440" s="89"/>
      <c r="K440" s="87"/>
      <c r="L440" s="87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</row>
    <row r="441" spans="1:53" ht="15.75" thickBot="1" x14ac:dyDescent="0.25">
      <c r="A441" s="245" t="str">
        <f t="shared" si="55"/>
        <v>sábado</v>
      </c>
      <c r="B441" s="87"/>
      <c r="C441" s="87"/>
      <c r="D441" s="87"/>
      <c r="E441" s="87"/>
      <c r="F441" s="87"/>
      <c r="G441" s="87"/>
      <c r="H441" s="87"/>
      <c r="I441" s="87"/>
      <c r="J441" s="89"/>
      <c r="K441" s="87"/>
      <c r="L441" s="87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9"/>
      <c r="BA441" s="89"/>
    </row>
    <row r="442" spans="1:53" ht="15.75" thickBot="1" x14ac:dyDescent="0.25">
      <c r="A442" s="245" t="str">
        <f t="shared" si="55"/>
        <v>sábado</v>
      </c>
      <c r="B442" s="87"/>
      <c r="C442" s="87"/>
      <c r="D442" s="87"/>
      <c r="E442" s="87"/>
      <c r="F442" s="87"/>
      <c r="G442" s="87"/>
      <c r="H442" s="87"/>
      <c r="I442" s="87"/>
      <c r="J442" s="89"/>
      <c r="K442" s="87"/>
      <c r="L442" s="87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89"/>
      <c r="BA442" s="89"/>
    </row>
    <row r="443" spans="1:53" ht="15.75" thickBot="1" x14ac:dyDescent="0.25">
      <c r="A443" s="245" t="str">
        <f t="shared" si="55"/>
        <v>sábado</v>
      </c>
      <c r="B443" s="87"/>
      <c r="C443" s="87"/>
      <c r="D443" s="87"/>
      <c r="E443" s="87"/>
      <c r="F443" s="87"/>
      <c r="G443" s="87"/>
      <c r="H443" s="87"/>
      <c r="I443" s="87"/>
      <c r="J443" s="89"/>
      <c r="K443" s="87"/>
      <c r="L443" s="87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</row>
    <row r="444" spans="1:53" ht="15.75" thickBot="1" x14ac:dyDescent="0.25">
      <c r="A444" s="245" t="str">
        <f t="shared" si="55"/>
        <v>sábado</v>
      </c>
      <c r="B444" s="87"/>
      <c r="C444" s="87"/>
      <c r="D444" s="87"/>
      <c r="E444" s="87"/>
      <c r="F444" s="87"/>
      <c r="G444" s="87"/>
      <c r="H444" s="87"/>
      <c r="I444" s="87"/>
      <c r="J444" s="89"/>
      <c r="K444" s="87"/>
      <c r="L444" s="87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</row>
    <row r="445" spans="1:53" ht="15.75" thickBot="1" x14ac:dyDescent="0.25">
      <c r="A445" s="245" t="str">
        <f t="shared" si="55"/>
        <v>sábado</v>
      </c>
      <c r="B445" s="87"/>
      <c r="C445" s="87"/>
      <c r="D445" s="87"/>
      <c r="E445" s="87"/>
      <c r="F445" s="87"/>
      <c r="G445" s="87"/>
      <c r="H445" s="87"/>
      <c r="I445" s="87"/>
      <c r="J445" s="89"/>
      <c r="K445" s="87"/>
      <c r="L445" s="87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</row>
    <row r="446" spans="1:53" ht="15.75" thickBot="1" x14ac:dyDescent="0.25">
      <c r="A446" s="245" t="str">
        <f t="shared" si="55"/>
        <v>sábado</v>
      </c>
      <c r="B446" s="87"/>
      <c r="C446" s="87"/>
      <c r="D446" s="87"/>
      <c r="E446" s="87"/>
      <c r="F446" s="87"/>
      <c r="G446" s="87"/>
      <c r="H446" s="87"/>
      <c r="I446" s="87"/>
      <c r="J446" s="89"/>
      <c r="K446" s="87"/>
      <c r="L446" s="87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</row>
    <row r="447" spans="1:53" ht="15.75" thickBot="1" x14ac:dyDescent="0.25">
      <c r="A447" s="245" t="str">
        <f t="shared" si="55"/>
        <v>sábado</v>
      </c>
      <c r="B447" s="87"/>
      <c r="C447" s="87"/>
      <c r="D447" s="87"/>
      <c r="E447" s="87"/>
      <c r="F447" s="87"/>
      <c r="G447" s="87"/>
      <c r="H447" s="87"/>
      <c r="I447" s="87"/>
      <c r="J447" s="89"/>
      <c r="K447" s="87"/>
      <c r="L447" s="87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89"/>
      <c r="BA447" s="89"/>
    </row>
    <row r="448" spans="1:53" ht="15.75" thickBot="1" x14ac:dyDescent="0.25">
      <c r="A448" s="245" t="str">
        <f t="shared" si="55"/>
        <v>sábado</v>
      </c>
      <c r="B448" s="25"/>
      <c r="C448" s="87"/>
      <c r="D448" s="87"/>
      <c r="E448" s="87"/>
      <c r="F448" s="87"/>
      <c r="G448" s="87"/>
      <c r="H448" s="87"/>
      <c r="I448" s="87"/>
      <c r="J448" s="89"/>
      <c r="K448" s="87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</row>
    <row r="449" spans="1:53" ht="15.75" thickBot="1" x14ac:dyDescent="0.25">
      <c r="A449" s="245" t="str">
        <f t="shared" si="55"/>
        <v>sábado</v>
      </c>
      <c r="B449" s="25"/>
      <c r="C449" s="51"/>
      <c r="J449" s="89"/>
      <c r="K449" s="87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</row>
    <row r="450" spans="1:53" ht="15.75" thickBot="1" x14ac:dyDescent="0.25">
      <c r="A450" s="245" t="str">
        <f t="shared" si="55"/>
        <v>sábado</v>
      </c>
      <c r="B450" s="25"/>
      <c r="C450" s="51"/>
      <c r="J450" s="89"/>
      <c r="K450" s="87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</row>
    <row r="451" spans="1:53" ht="15.75" thickBot="1" x14ac:dyDescent="0.25">
      <c r="A451" s="245" t="str">
        <f t="shared" si="55"/>
        <v>sábado</v>
      </c>
      <c r="B451" s="25"/>
      <c r="C451" s="51"/>
      <c r="D451" s="26"/>
      <c r="J451" s="89"/>
      <c r="K451" s="87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89"/>
      <c r="BA451" s="89"/>
    </row>
    <row r="452" spans="1:53" ht="15.75" thickBot="1" x14ac:dyDescent="0.25">
      <c r="A452" s="245" t="str">
        <f t="shared" si="55"/>
        <v>sábado</v>
      </c>
      <c r="B452" s="25"/>
      <c r="C452" s="51"/>
      <c r="D452" s="26"/>
      <c r="J452" s="89"/>
      <c r="K452" s="87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</row>
    <row r="453" spans="1:53" ht="15.75" thickBot="1" x14ac:dyDescent="0.25">
      <c r="A453" s="245" t="str">
        <f t="shared" si="55"/>
        <v>sábado</v>
      </c>
      <c r="B453" s="25"/>
      <c r="C453" s="51"/>
      <c r="D453" s="26"/>
      <c r="J453" s="89"/>
      <c r="K453" s="87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</row>
    <row r="454" spans="1:53" ht="15.75" thickBot="1" x14ac:dyDescent="0.25">
      <c r="A454" s="245" t="str">
        <f t="shared" si="55"/>
        <v>sábado</v>
      </c>
      <c r="B454" s="25"/>
      <c r="C454" s="51"/>
      <c r="D454" s="26"/>
      <c r="J454" s="89"/>
      <c r="K454" s="87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</row>
    <row r="455" spans="1:53" ht="15.75" thickBot="1" x14ac:dyDescent="0.25">
      <c r="A455" s="245" t="str">
        <f t="shared" ref="A455:A518" si="56">+TEXT(B455,"dddd")</f>
        <v>sábado</v>
      </c>
      <c r="B455" s="25"/>
      <c r="J455" s="89"/>
      <c r="K455" s="87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</row>
    <row r="456" spans="1:53" ht="15.75" thickBot="1" x14ac:dyDescent="0.25">
      <c r="A456" s="245" t="str">
        <f t="shared" si="56"/>
        <v>sábado</v>
      </c>
      <c r="B456" s="25"/>
      <c r="C456" s="51"/>
      <c r="D456" s="32"/>
      <c r="J456" s="89"/>
      <c r="K456" s="87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</row>
    <row r="457" spans="1:53" ht="15.75" thickBot="1" x14ac:dyDescent="0.25">
      <c r="A457" s="245" t="str">
        <f t="shared" si="56"/>
        <v>sábado</v>
      </c>
      <c r="B457" s="25"/>
      <c r="C457" s="51"/>
      <c r="J457" s="89"/>
      <c r="K457" s="87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</row>
    <row r="458" spans="1:53" ht="15.75" thickBot="1" x14ac:dyDescent="0.25">
      <c r="A458" s="245" t="str">
        <f t="shared" si="56"/>
        <v>sábado</v>
      </c>
      <c r="C458" s="51"/>
      <c r="E458" s="49"/>
      <c r="G458" s="49"/>
      <c r="H458" s="49"/>
      <c r="J458" s="89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9"/>
      <c r="BA458" s="89"/>
    </row>
    <row r="459" spans="1:53" ht="15.75" thickBot="1" x14ac:dyDescent="0.25">
      <c r="A459" s="245" t="str">
        <f t="shared" si="56"/>
        <v>sábado</v>
      </c>
      <c r="B459" s="25"/>
      <c r="C459" s="51"/>
      <c r="J459" s="89"/>
      <c r="K459" s="87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</row>
    <row r="460" spans="1:53" ht="15.75" thickBot="1" x14ac:dyDescent="0.25">
      <c r="A460" s="245" t="str">
        <f t="shared" si="56"/>
        <v>sábado</v>
      </c>
      <c r="B460" s="25"/>
      <c r="C460" s="51"/>
      <c r="E460" s="49"/>
      <c r="J460" s="89"/>
      <c r="K460" s="87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</row>
    <row r="461" spans="1:53" ht="15.75" thickBot="1" x14ac:dyDescent="0.25">
      <c r="A461" s="245" t="str">
        <f t="shared" si="56"/>
        <v>sábado</v>
      </c>
      <c r="B461" s="25"/>
      <c r="C461" s="52"/>
      <c r="J461" s="89"/>
      <c r="K461" s="87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</row>
    <row r="462" spans="1:53" ht="15.75" thickBot="1" x14ac:dyDescent="0.25">
      <c r="A462" s="245" t="str">
        <f t="shared" si="56"/>
        <v>sábado</v>
      </c>
      <c r="B462" s="25"/>
      <c r="C462" s="51"/>
      <c r="J462" s="89"/>
      <c r="K462" s="87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</row>
    <row r="463" spans="1:53" ht="15.75" thickBot="1" x14ac:dyDescent="0.25">
      <c r="A463" s="245" t="str">
        <f t="shared" si="56"/>
        <v>sábado</v>
      </c>
      <c r="B463" s="25"/>
      <c r="C463" s="51"/>
      <c r="E463" s="49"/>
      <c r="J463" s="89"/>
      <c r="K463" s="87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</row>
    <row r="464" spans="1:53" ht="15.75" thickBot="1" x14ac:dyDescent="0.25">
      <c r="A464" s="245" t="str">
        <f t="shared" si="56"/>
        <v>sábado</v>
      </c>
      <c r="B464" s="25"/>
      <c r="C464" s="51"/>
      <c r="J464" s="89"/>
      <c r="K464" s="87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</row>
    <row r="465" spans="1:53" ht="15.75" thickBot="1" x14ac:dyDescent="0.25">
      <c r="A465" s="245" t="str">
        <f t="shared" si="56"/>
        <v>sábado</v>
      </c>
      <c r="B465" s="25"/>
      <c r="C465" s="52"/>
      <c r="J465" s="89"/>
      <c r="K465" s="87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</row>
    <row r="466" spans="1:53" ht="15.75" thickBot="1" x14ac:dyDescent="0.25">
      <c r="A466" s="245" t="str">
        <f t="shared" si="56"/>
        <v>sábado</v>
      </c>
      <c r="B466" s="25"/>
      <c r="C466" s="52"/>
      <c r="J466" s="89"/>
      <c r="K466" s="87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</row>
    <row r="467" spans="1:53" ht="15.75" thickBot="1" x14ac:dyDescent="0.25">
      <c r="A467" s="245" t="str">
        <f t="shared" si="56"/>
        <v>sábado</v>
      </c>
      <c r="B467" s="25"/>
      <c r="C467" s="51"/>
      <c r="D467" s="32"/>
      <c r="J467" s="89"/>
      <c r="K467" s="87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</row>
    <row r="468" spans="1:53" ht="15.75" thickBot="1" x14ac:dyDescent="0.25">
      <c r="A468" s="245" t="str">
        <f t="shared" si="56"/>
        <v>sábado</v>
      </c>
      <c r="B468" s="25"/>
      <c r="C468" s="51"/>
      <c r="D468" s="26"/>
      <c r="J468" s="89"/>
      <c r="K468" s="87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</row>
    <row r="469" spans="1:53" ht="15.75" thickBot="1" x14ac:dyDescent="0.25">
      <c r="A469" s="245" t="str">
        <f t="shared" si="56"/>
        <v>sábado</v>
      </c>
      <c r="B469" s="25"/>
      <c r="C469" s="51"/>
      <c r="E469" s="49"/>
      <c r="J469" s="89"/>
      <c r="K469" s="87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</row>
    <row r="470" spans="1:53" ht="15.75" thickBot="1" x14ac:dyDescent="0.25">
      <c r="A470" s="245" t="str">
        <f t="shared" si="56"/>
        <v>sábado</v>
      </c>
      <c r="B470" s="25"/>
      <c r="C470" s="51"/>
      <c r="E470" s="49"/>
      <c r="J470" s="89"/>
      <c r="K470" s="87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</row>
    <row r="471" spans="1:53" ht="15.75" thickBot="1" x14ac:dyDescent="0.25">
      <c r="A471" s="245" t="str">
        <f t="shared" si="56"/>
        <v>sábado</v>
      </c>
      <c r="B471" s="25"/>
      <c r="C471" s="51"/>
      <c r="J471" s="89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9"/>
      <c r="BA471" s="89"/>
    </row>
    <row r="472" spans="1:53" ht="15.75" thickBot="1" x14ac:dyDescent="0.25">
      <c r="A472" s="245" t="str">
        <f t="shared" si="56"/>
        <v>sábado</v>
      </c>
      <c r="B472" s="25"/>
      <c r="C472" s="51"/>
      <c r="D472" s="26"/>
      <c r="J472" s="89"/>
      <c r="K472" s="87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</row>
    <row r="473" spans="1:53" ht="15.75" thickBot="1" x14ac:dyDescent="0.25">
      <c r="A473" s="245" t="str">
        <f t="shared" si="56"/>
        <v>sábado</v>
      </c>
      <c r="B473" s="25"/>
      <c r="C473" s="52"/>
      <c r="J473" s="89"/>
      <c r="K473" s="87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</row>
    <row r="474" spans="1:53" ht="15.75" thickBot="1" x14ac:dyDescent="0.25">
      <c r="A474" s="245" t="str">
        <f t="shared" si="56"/>
        <v>sábado</v>
      </c>
      <c r="B474" s="25"/>
      <c r="C474" s="51"/>
      <c r="J474" s="89"/>
      <c r="K474" s="87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</row>
    <row r="475" spans="1:53" ht="15.75" thickBot="1" x14ac:dyDescent="0.25">
      <c r="A475" s="245" t="str">
        <f t="shared" si="56"/>
        <v>sábado</v>
      </c>
      <c r="B475" s="25"/>
      <c r="C475" s="51"/>
      <c r="J475" s="89"/>
      <c r="K475" s="87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</row>
    <row r="476" spans="1:53" ht="15.75" thickBot="1" x14ac:dyDescent="0.25">
      <c r="A476" s="245" t="str">
        <f t="shared" si="56"/>
        <v>sábado</v>
      </c>
      <c r="B476" s="25"/>
      <c r="C476" s="51"/>
      <c r="J476" s="89"/>
      <c r="K476" s="87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</row>
    <row r="477" spans="1:53" ht="15.75" thickBot="1" x14ac:dyDescent="0.25">
      <c r="A477" s="245" t="str">
        <f t="shared" si="56"/>
        <v>sábado</v>
      </c>
      <c r="B477" s="25"/>
      <c r="C477" s="51"/>
      <c r="J477" s="89"/>
      <c r="K477" s="87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</row>
    <row r="478" spans="1:53" ht="15.75" thickBot="1" x14ac:dyDescent="0.25">
      <c r="A478" s="245" t="str">
        <f t="shared" si="56"/>
        <v>sábado</v>
      </c>
      <c r="B478" s="25"/>
      <c r="C478" s="51"/>
      <c r="J478" s="89"/>
      <c r="K478" s="87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</row>
    <row r="479" spans="1:53" ht="15.75" thickBot="1" x14ac:dyDescent="0.25">
      <c r="A479" s="245" t="str">
        <f t="shared" si="56"/>
        <v>sábado</v>
      </c>
      <c r="B479" s="25"/>
      <c r="C479" s="51"/>
      <c r="J479" s="89"/>
      <c r="K479" s="87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</row>
    <row r="480" spans="1:53" ht="15.75" thickBot="1" x14ac:dyDescent="0.25">
      <c r="A480" s="245" t="str">
        <f t="shared" si="56"/>
        <v>sábado</v>
      </c>
      <c r="B480" s="25"/>
      <c r="C480" s="51"/>
      <c r="J480" s="89"/>
      <c r="K480" s="87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</row>
    <row r="481" spans="1:53" ht="15.75" thickBot="1" x14ac:dyDescent="0.25">
      <c r="A481" s="245" t="str">
        <f t="shared" si="56"/>
        <v>sábado</v>
      </c>
      <c r="B481" s="25"/>
      <c r="C481" s="51"/>
      <c r="J481" s="89"/>
      <c r="K481" s="87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</row>
    <row r="482" spans="1:53" ht="15.75" thickBot="1" x14ac:dyDescent="0.25">
      <c r="A482" s="245" t="str">
        <f t="shared" si="56"/>
        <v>sábado</v>
      </c>
      <c r="B482" s="25"/>
      <c r="C482" s="51"/>
      <c r="J482" s="89"/>
      <c r="K482" s="87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</row>
    <row r="483" spans="1:53" ht="15.75" thickBot="1" x14ac:dyDescent="0.25">
      <c r="A483" s="245" t="str">
        <f t="shared" si="56"/>
        <v>sábado</v>
      </c>
      <c r="B483" s="25"/>
      <c r="C483" s="51"/>
      <c r="J483" s="89"/>
      <c r="K483" s="87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</row>
    <row r="484" spans="1:53" ht="15.75" thickBot="1" x14ac:dyDescent="0.25">
      <c r="A484" s="245" t="str">
        <f t="shared" si="56"/>
        <v>sábado</v>
      </c>
      <c r="B484" s="25"/>
      <c r="C484" s="51"/>
      <c r="J484" s="89"/>
      <c r="K484" s="87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</row>
    <row r="485" spans="1:53" ht="15.75" thickBot="1" x14ac:dyDescent="0.25">
      <c r="A485" s="245" t="str">
        <f t="shared" si="56"/>
        <v>sábado</v>
      </c>
      <c r="B485" s="25"/>
      <c r="C485" s="51"/>
      <c r="J485" s="89"/>
      <c r="K485" s="87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</row>
    <row r="486" spans="1:53" ht="15.75" thickBot="1" x14ac:dyDescent="0.25">
      <c r="A486" s="245" t="str">
        <f t="shared" si="56"/>
        <v>sábado</v>
      </c>
      <c r="B486" s="25"/>
      <c r="C486" s="51"/>
      <c r="J486" s="89"/>
      <c r="K486" s="87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89"/>
      <c r="BA486" s="89"/>
    </row>
    <row r="487" spans="1:53" ht="15.75" thickBot="1" x14ac:dyDescent="0.25">
      <c r="A487" s="245" t="str">
        <f t="shared" si="56"/>
        <v>sábado</v>
      </c>
      <c r="B487" s="25"/>
      <c r="C487" s="51"/>
      <c r="J487" s="89"/>
      <c r="K487" s="87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</row>
    <row r="488" spans="1:53" ht="15.75" thickBot="1" x14ac:dyDescent="0.25">
      <c r="A488" s="245" t="str">
        <f t="shared" si="56"/>
        <v>sábado</v>
      </c>
      <c r="B488" s="25"/>
      <c r="C488" s="51"/>
      <c r="J488" s="89"/>
      <c r="K488" s="87"/>
    </row>
    <row r="489" spans="1:53" ht="15.75" thickBot="1" x14ac:dyDescent="0.25">
      <c r="A489" s="245" t="str">
        <f t="shared" si="56"/>
        <v>sábado</v>
      </c>
      <c r="B489" s="25"/>
      <c r="C489" s="51"/>
      <c r="D489" s="26"/>
      <c r="J489" s="89"/>
      <c r="K489" s="87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</row>
    <row r="490" spans="1:53" ht="15.75" thickBot="1" x14ac:dyDescent="0.25">
      <c r="A490" s="245" t="str">
        <f t="shared" si="56"/>
        <v>sábado</v>
      </c>
      <c r="B490" s="25"/>
      <c r="C490" s="51"/>
      <c r="D490" s="26"/>
      <c r="J490" s="89"/>
      <c r="K490" s="87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</row>
    <row r="491" spans="1:53" ht="15.75" thickBot="1" x14ac:dyDescent="0.25">
      <c r="A491" s="245" t="str">
        <f t="shared" si="56"/>
        <v>sábado</v>
      </c>
      <c r="B491" s="25"/>
      <c r="C491" s="52"/>
      <c r="J491" s="89"/>
      <c r="K491" s="87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</row>
    <row r="492" spans="1:53" ht="15.75" thickBot="1" x14ac:dyDescent="0.25">
      <c r="A492" s="245" t="str">
        <f t="shared" si="56"/>
        <v>sábado</v>
      </c>
      <c r="B492" s="25"/>
      <c r="C492" s="51"/>
      <c r="J492" s="89"/>
      <c r="K492" s="87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</row>
    <row r="493" spans="1:53" ht="15.75" thickBot="1" x14ac:dyDescent="0.25">
      <c r="A493" s="245" t="str">
        <f t="shared" si="56"/>
        <v>sábado</v>
      </c>
      <c r="B493" s="25"/>
      <c r="D493" s="26"/>
      <c r="E493" s="26"/>
      <c r="F493" s="26"/>
      <c r="J493" s="89"/>
      <c r="K493" s="87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</row>
    <row r="494" spans="1:53" ht="15.75" thickBot="1" x14ac:dyDescent="0.25">
      <c r="A494" s="245" t="str">
        <f t="shared" si="56"/>
        <v>sábado</v>
      </c>
      <c r="B494" s="25"/>
      <c r="C494" s="51"/>
      <c r="J494" s="89"/>
      <c r="K494" s="87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</row>
    <row r="495" spans="1:53" ht="15.75" thickBot="1" x14ac:dyDescent="0.25">
      <c r="A495" s="245" t="str">
        <f t="shared" si="56"/>
        <v>sábado</v>
      </c>
      <c r="B495" s="25"/>
      <c r="C495" s="51"/>
      <c r="J495" s="89"/>
      <c r="K495" s="87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</row>
    <row r="496" spans="1:53" ht="15.75" thickBot="1" x14ac:dyDescent="0.25">
      <c r="A496" s="245" t="str">
        <f t="shared" si="56"/>
        <v>sábado</v>
      </c>
      <c r="B496" s="25"/>
      <c r="C496" s="51"/>
      <c r="J496" s="89"/>
      <c r="K496" s="87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</row>
    <row r="497" spans="1:53" ht="15.75" thickBot="1" x14ac:dyDescent="0.25">
      <c r="A497" s="245" t="str">
        <f t="shared" si="56"/>
        <v>sábado</v>
      </c>
      <c r="B497" s="25"/>
      <c r="C497" s="52"/>
      <c r="J497" s="89"/>
      <c r="K497" s="87"/>
    </row>
    <row r="498" spans="1:53" ht="15.75" thickBot="1" x14ac:dyDescent="0.25">
      <c r="A498" s="245" t="str">
        <f t="shared" si="56"/>
        <v>sábado</v>
      </c>
      <c r="B498" s="25"/>
      <c r="C498" s="78"/>
      <c r="D498" s="69"/>
      <c r="E498" s="68"/>
      <c r="F498" s="68"/>
      <c r="G498" s="68"/>
      <c r="H498" s="68"/>
      <c r="I498" s="67"/>
      <c r="J498" s="89"/>
      <c r="K498" s="87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</row>
    <row r="499" spans="1:53" ht="15.75" thickBot="1" x14ac:dyDescent="0.25">
      <c r="A499" s="245" t="str">
        <f t="shared" si="56"/>
        <v>sábado</v>
      </c>
      <c r="B499" s="25"/>
      <c r="C499" s="51"/>
      <c r="J499" s="89"/>
      <c r="K499" s="87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</row>
    <row r="500" spans="1:53" ht="15.75" thickBot="1" x14ac:dyDescent="0.25">
      <c r="A500" s="245" t="str">
        <f t="shared" si="56"/>
        <v>sábado</v>
      </c>
      <c r="C500" s="51"/>
      <c r="J500" s="89"/>
      <c r="K500" s="87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</row>
    <row r="501" spans="1:53" ht="15.75" thickBot="1" x14ac:dyDescent="0.25">
      <c r="A501" s="245" t="str">
        <f t="shared" si="56"/>
        <v>sábado</v>
      </c>
      <c r="B501" s="25"/>
      <c r="C501" s="51"/>
      <c r="J501" s="89"/>
      <c r="K501" s="87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</row>
    <row r="502" spans="1:53" ht="15.75" thickBot="1" x14ac:dyDescent="0.25">
      <c r="A502" s="245" t="str">
        <f t="shared" si="56"/>
        <v>sábado</v>
      </c>
      <c r="B502" s="25"/>
      <c r="C502" s="51"/>
      <c r="J502" s="89"/>
      <c r="K502" s="87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</row>
    <row r="503" spans="1:53" ht="15.75" thickBot="1" x14ac:dyDescent="0.25">
      <c r="A503" s="245" t="str">
        <f t="shared" si="56"/>
        <v>sábado</v>
      </c>
      <c r="B503" s="25"/>
      <c r="C503" s="51"/>
      <c r="J503" s="89"/>
      <c r="K503" s="87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</row>
    <row r="504" spans="1:53" ht="15.75" thickBot="1" x14ac:dyDescent="0.25">
      <c r="A504" s="245" t="str">
        <f t="shared" si="56"/>
        <v>sábado</v>
      </c>
      <c r="B504" s="25"/>
      <c r="C504" s="51"/>
      <c r="D504" s="26"/>
      <c r="J504" s="89"/>
      <c r="K504" s="87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</row>
    <row r="505" spans="1:53" ht="15.75" thickBot="1" x14ac:dyDescent="0.25">
      <c r="A505" s="245" t="str">
        <f t="shared" si="56"/>
        <v>sábado</v>
      </c>
      <c r="B505" s="25"/>
      <c r="C505" s="51"/>
      <c r="J505" s="89"/>
      <c r="K505" s="87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89"/>
      <c r="BA505" s="89"/>
    </row>
    <row r="506" spans="1:53" ht="15.75" thickBot="1" x14ac:dyDescent="0.25">
      <c r="A506" s="245" t="str">
        <f t="shared" si="56"/>
        <v>sábado</v>
      </c>
      <c r="B506" s="25"/>
      <c r="C506" s="51"/>
      <c r="J506" s="89"/>
      <c r="K506" s="87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</row>
    <row r="507" spans="1:53" ht="15.75" thickBot="1" x14ac:dyDescent="0.25">
      <c r="A507" s="245" t="str">
        <f t="shared" si="56"/>
        <v>sábado</v>
      </c>
      <c r="B507" s="25"/>
      <c r="C507" s="51"/>
      <c r="J507" s="89"/>
      <c r="K507" s="87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</row>
    <row r="508" spans="1:53" ht="15.75" thickBot="1" x14ac:dyDescent="0.25">
      <c r="A508" s="245" t="str">
        <f t="shared" si="56"/>
        <v>sábado</v>
      </c>
      <c r="B508" s="25"/>
      <c r="C508" s="52"/>
      <c r="J508" s="89"/>
      <c r="K508" s="87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</row>
    <row r="509" spans="1:53" ht="15.75" thickBot="1" x14ac:dyDescent="0.25">
      <c r="A509" s="245" t="str">
        <f t="shared" si="56"/>
        <v>sábado</v>
      </c>
      <c r="J509" s="89"/>
      <c r="K509" s="87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</row>
    <row r="510" spans="1:53" ht="15.75" thickBot="1" x14ac:dyDescent="0.25">
      <c r="A510" s="245" t="str">
        <f t="shared" si="56"/>
        <v>sábado</v>
      </c>
      <c r="B510" s="25"/>
      <c r="C510" s="51"/>
      <c r="J510" s="89"/>
      <c r="K510" s="87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</row>
    <row r="511" spans="1:53" ht="15.75" thickBot="1" x14ac:dyDescent="0.25">
      <c r="A511" s="245" t="str">
        <f t="shared" si="56"/>
        <v>sábado</v>
      </c>
      <c r="B511" s="25"/>
      <c r="C511" s="51"/>
      <c r="J511" s="89"/>
      <c r="K511" s="87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</row>
    <row r="512" spans="1:53" ht="15.75" thickBot="1" x14ac:dyDescent="0.25">
      <c r="A512" s="245" t="str">
        <f t="shared" si="56"/>
        <v>sábado</v>
      </c>
      <c r="B512" s="25"/>
      <c r="C512" s="51"/>
      <c r="J512" s="89"/>
      <c r="K512" s="87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</row>
    <row r="513" spans="1:53" ht="15.75" thickBot="1" x14ac:dyDescent="0.25">
      <c r="A513" s="245" t="str">
        <f t="shared" si="56"/>
        <v>sábado</v>
      </c>
      <c r="B513" s="25"/>
      <c r="C513" s="51"/>
      <c r="J513" s="89"/>
      <c r="K513" s="87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</row>
    <row r="514" spans="1:53" ht="15.75" thickBot="1" x14ac:dyDescent="0.25">
      <c r="A514" s="245" t="str">
        <f t="shared" si="56"/>
        <v>sábado</v>
      </c>
      <c r="B514" s="25"/>
      <c r="C514" s="52"/>
      <c r="J514" s="89"/>
      <c r="K514" s="87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</row>
    <row r="515" spans="1:53" ht="15.75" thickBot="1" x14ac:dyDescent="0.25">
      <c r="A515" s="245" t="str">
        <f t="shared" si="56"/>
        <v>sábado</v>
      </c>
      <c r="B515" s="25"/>
      <c r="C515" s="51"/>
      <c r="J515" s="89"/>
      <c r="K515" s="87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</row>
    <row r="516" spans="1:53" ht="15.75" thickBot="1" x14ac:dyDescent="0.25">
      <c r="A516" s="245" t="str">
        <f t="shared" si="56"/>
        <v>sábado</v>
      </c>
      <c r="B516" s="25"/>
      <c r="C516" s="51"/>
      <c r="D516" s="26"/>
      <c r="J516" s="89"/>
      <c r="K516" s="87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</row>
    <row r="517" spans="1:53" ht="15.75" thickBot="1" x14ac:dyDescent="0.25">
      <c r="A517" s="245" t="str">
        <f t="shared" si="56"/>
        <v>sábado</v>
      </c>
      <c r="B517" s="25"/>
      <c r="C517" s="51"/>
      <c r="J517" s="89"/>
      <c r="K517" s="87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</row>
    <row r="518" spans="1:53" ht="15.75" thickBot="1" x14ac:dyDescent="0.25">
      <c r="A518" s="245" t="str">
        <f t="shared" si="56"/>
        <v>sábado</v>
      </c>
      <c r="B518" s="25"/>
      <c r="C518" s="52"/>
      <c r="E518" s="49"/>
      <c r="G518" s="49"/>
      <c r="H518" s="49"/>
      <c r="J518" s="89"/>
      <c r="K518" s="87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</row>
    <row r="519" spans="1:53" ht="15.75" thickBot="1" x14ac:dyDescent="0.25">
      <c r="A519" s="245" t="str">
        <f t="shared" ref="A519:A541" si="57">+TEXT(B519,"dddd")</f>
        <v>sábado</v>
      </c>
      <c r="B519" s="25"/>
      <c r="C519" s="52"/>
      <c r="D519" s="26"/>
      <c r="J519" s="89"/>
      <c r="K519" s="87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</row>
    <row r="520" spans="1:53" ht="15.75" thickBot="1" x14ac:dyDescent="0.25">
      <c r="A520" s="245" t="str">
        <f t="shared" si="57"/>
        <v>sábado</v>
      </c>
      <c r="B520" s="25"/>
      <c r="C520" s="51"/>
      <c r="J520" s="89"/>
      <c r="K520" s="87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</row>
    <row r="521" spans="1:53" ht="15.75" thickBot="1" x14ac:dyDescent="0.25">
      <c r="A521" s="245" t="str">
        <f t="shared" si="57"/>
        <v>sábado</v>
      </c>
      <c r="B521" s="25"/>
      <c r="C521" s="52"/>
      <c r="J521" s="89"/>
      <c r="K521" s="87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</row>
    <row r="522" spans="1:53" ht="15.75" thickBot="1" x14ac:dyDescent="0.25">
      <c r="A522" s="245" t="str">
        <f t="shared" si="57"/>
        <v>sábado</v>
      </c>
      <c r="B522" s="25"/>
      <c r="C522" s="52"/>
      <c r="J522" s="89"/>
      <c r="K522" s="87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</row>
    <row r="523" spans="1:53" ht="15.75" thickBot="1" x14ac:dyDescent="0.25">
      <c r="A523" s="245" t="str">
        <f t="shared" si="57"/>
        <v>sábado</v>
      </c>
      <c r="B523" s="25"/>
      <c r="C523" s="51"/>
      <c r="J523" s="89"/>
      <c r="K523" s="87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</row>
    <row r="524" spans="1:53" ht="15.75" thickBot="1" x14ac:dyDescent="0.25">
      <c r="A524" s="245" t="str">
        <f t="shared" si="57"/>
        <v>sábado</v>
      </c>
      <c r="B524" s="25"/>
      <c r="C524" s="51"/>
      <c r="J524" s="89"/>
      <c r="K524" s="87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</row>
    <row r="525" spans="1:53" ht="15.75" thickBot="1" x14ac:dyDescent="0.25">
      <c r="A525" s="245" t="str">
        <f t="shared" si="57"/>
        <v>sábado</v>
      </c>
      <c r="B525" s="25"/>
      <c r="C525" s="51"/>
      <c r="J525" s="89"/>
      <c r="K525" s="87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</row>
    <row r="526" spans="1:53" ht="15.75" thickBot="1" x14ac:dyDescent="0.25">
      <c r="A526" s="245" t="str">
        <f t="shared" si="57"/>
        <v>sábado</v>
      </c>
      <c r="B526" s="25"/>
      <c r="C526" s="51"/>
      <c r="J526" s="89"/>
      <c r="K526" s="87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</row>
    <row r="527" spans="1:53" ht="15.75" thickBot="1" x14ac:dyDescent="0.25">
      <c r="A527" s="245" t="str">
        <f t="shared" si="57"/>
        <v>sábado</v>
      </c>
      <c r="B527" s="25"/>
      <c r="C527" s="52"/>
      <c r="J527" s="89"/>
      <c r="K527" s="87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</row>
    <row r="528" spans="1:53" ht="15.75" thickBot="1" x14ac:dyDescent="0.25">
      <c r="A528" s="245" t="str">
        <f t="shared" si="57"/>
        <v>sábado</v>
      </c>
      <c r="B528" s="25"/>
      <c r="C528" s="51"/>
      <c r="J528" s="89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9"/>
      <c r="BA528" s="89"/>
    </row>
    <row r="529" spans="1:53" ht="15.75" thickBot="1" x14ac:dyDescent="0.25">
      <c r="A529" s="245" t="str">
        <f t="shared" si="57"/>
        <v>sábado</v>
      </c>
      <c r="B529" s="25"/>
      <c r="C529" s="51"/>
      <c r="J529" s="89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9"/>
      <c r="BA529" s="89"/>
    </row>
    <row r="530" spans="1:53" ht="15.75" thickBot="1" x14ac:dyDescent="0.25">
      <c r="A530" s="245" t="str">
        <f t="shared" si="57"/>
        <v>sábado</v>
      </c>
      <c r="B530" s="25"/>
      <c r="C530" s="51"/>
      <c r="J530" s="89"/>
      <c r="K530" s="87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</row>
    <row r="531" spans="1:53" ht="15.75" thickBot="1" x14ac:dyDescent="0.25">
      <c r="A531" s="245" t="str">
        <f t="shared" si="57"/>
        <v>sábado</v>
      </c>
      <c r="B531" s="25"/>
      <c r="C531" s="51"/>
      <c r="D531" s="26"/>
      <c r="J531" s="89"/>
      <c r="K531" s="87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</row>
    <row r="532" spans="1:53" ht="15.75" thickBot="1" x14ac:dyDescent="0.25">
      <c r="A532" s="245" t="str">
        <f t="shared" si="57"/>
        <v>sábado</v>
      </c>
      <c r="B532" s="25"/>
      <c r="C532" s="51"/>
      <c r="D532" s="26"/>
      <c r="J532" s="89"/>
      <c r="K532" s="87"/>
    </row>
    <row r="533" spans="1:53" ht="15.75" thickBot="1" x14ac:dyDescent="0.25">
      <c r="A533" s="245" t="str">
        <f t="shared" si="57"/>
        <v>sábado</v>
      </c>
      <c r="B533" s="25"/>
      <c r="C533" s="52"/>
      <c r="D533" s="26"/>
      <c r="J533" s="89"/>
      <c r="K533" s="87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</row>
    <row r="534" spans="1:53" ht="15.75" thickBot="1" x14ac:dyDescent="0.25">
      <c r="A534" s="245" t="str">
        <f t="shared" si="57"/>
        <v>sábado</v>
      </c>
      <c r="B534" s="25"/>
      <c r="C534" s="51"/>
      <c r="J534" s="89"/>
      <c r="K534" s="87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9"/>
      <c r="BA534" s="89"/>
    </row>
    <row r="535" spans="1:53" ht="15.75" thickBot="1" x14ac:dyDescent="0.25">
      <c r="A535" s="245" t="str">
        <f t="shared" si="57"/>
        <v>sábado</v>
      </c>
      <c r="B535" s="25"/>
      <c r="C535" s="51"/>
      <c r="J535" s="89"/>
      <c r="K535" s="87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9"/>
      <c r="BA535" s="89"/>
    </row>
    <row r="536" spans="1:53" ht="15.75" thickBot="1" x14ac:dyDescent="0.25">
      <c r="A536" s="245" t="str">
        <f t="shared" si="57"/>
        <v>sábado</v>
      </c>
      <c r="B536" s="25"/>
      <c r="C536" s="51"/>
      <c r="J536" s="89"/>
      <c r="K536" s="87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9"/>
      <c r="BA536" s="89"/>
    </row>
    <row r="537" spans="1:53" ht="15.75" thickBot="1" x14ac:dyDescent="0.25">
      <c r="A537" s="245" t="str">
        <f t="shared" si="57"/>
        <v>sábado</v>
      </c>
      <c r="B537" s="25"/>
      <c r="C537" s="51"/>
      <c r="J537" s="89"/>
      <c r="K537" s="87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</row>
    <row r="538" spans="1:53" ht="15.75" thickBot="1" x14ac:dyDescent="0.25">
      <c r="A538" s="245" t="str">
        <f t="shared" si="57"/>
        <v>sábado</v>
      </c>
      <c r="B538" s="25"/>
      <c r="C538" s="51"/>
      <c r="J538" s="89"/>
      <c r="K538" s="87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B538" s="86"/>
      <c r="AC538" s="86"/>
      <c r="AD538" s="86"/>
      <c r="AE538" s="86"/>
      <c r="AF538" s="86"/>
      <c r="AG538" s="86"/>
      <c r="AH538" s="86"/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</row>
    <row r="539" spans="1:53" ht="15.75" thickBot="1" x14ac:dyDescent="0.25">
      <c r="A539" s="245" t="str">
        <f t="shared" si="57"/>
        <v>sábado</v>
      </c>
      <c r="B539" s="25"/>
      <c r="C539" s="51"/>
      <c r="J539" s="89"/>
      <c r="K539" s="87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</row>
    <row r="540" spans="1:53" ht="15.75" thickBot="1" x14ac:dyDescent="0.25">
      <c r="A540" s="245" t="str">
        <f t="shared" si="57"/>
        <v>sábado</v>
      </c>
      <c r="B540" s="25"/>
      <c r="C540" s="51"/>
      <c r="J540" s="89"/>
      <c r="K540" s="87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</row>
    <row r="541" spans="1:53" ht="15.75" thickBot="1" x14ac:dyDescent="0.25">
      <c r="A541" s="245" t="str">
        <f t="shared" si="57"/>
        <v>sábado</v>
      </c>
      <c r="B541" s="25"/>
      <c r="C541" s="51"/>
      <c r="J541" s="89"/>
      <c r="K541" s="87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</row>
    <row r="542" spans="1:53" x14ac:dyDescent="0.2">
      <c r="A542" s="25"/>
      <c r="B542" s="25"/>
      <c r="C542" s="51"/>
      <c r="J542" s="89"/>
      <c r="K542" s="87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</row>
    <row r="543" spans="1:53" x14ac:dyDescent="0.2">
      <c r="A543" s="25"/>
      <c r="B543" s="25"/>
      <c r="C543" s="51"/>
      <c r="J543" s="51"/>
      <c r="K543" s="87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</row>
    <row r="544" spans="1:53" x14ac:dyDescent="0.2">
      <c r="C544" s="52"/>
      <c r="E544" s="49"/>
      <c r="G544" s="49"/>
      <c r="H544" s="49"/>
      <c r="J544" s="51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</row>
    <row r="545" spans="1:51" x14ac:dyDescent="0.2">
      <c r="C545" s="52"/>
      <c r="J545" s="51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</row>
    <row r="546" spans="1:51" x14ac:dyDescent="0.2">
      <c r="C546" s="52"/>
      <c r="E546" s="49"/>
      <c r="J546" s="51"/>
      <c r="K546" s="87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</row>
    <row r="547" spans="1:51" x14ac:dyDescent="0.2">
      <c r="A547" s="25"/>
      <c r="B547" s="25"/>
      <c r="J547" s="51"/>
      <c r="K547" s="87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</row>
    <row r="548" spans="1:51" x14ac:dyDescent="0.2">
      <c r="A548" s="25"/>
      <c r="B548" s="25"/>
      <c r="C548" s="52"/>
      <c r="E548" s="49"/>
      <c r="G548" s="49"/>
      <c r="H548" s="49"/>
      <c r="J548" s="51"/>
      <c r="K548" s="87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</row>
    <row r="549" spans="1:51" x14ac:dyDescent="0.2">
      <c r="A549" s="25"/>
      <c r="B549" s="25"/>
      <c r="C549" s="51"/>
      <c r="J549" s="51"/>
      <c r="K549" s="87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</row>
    <row r="550" spans="1:51" x14ac:dyDescent="0.2">
      <c r="C550" s="52"/>
      <c r="D550" s="26"/>
      <c r="E550" s="49"/>
      <c r="G550" s="49"/>
      <c r="H550" s="49"/>
      <c r="J550" s="51"/>
      <c r="K550" s="87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</row>
    <row r="551" spans="1:51" x14ac:dyDescent="0.2">
      <c r="C551" s="51"/>
      <c r="J551" s="51"/>
      <c r="K551" s="87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</row>
    <row r="552" spans="1:51" x14ac:dyDescent="0.2">
      <c r="A552" s="25"/>
      <c r="B552" s="25"/>
      <c r="C552" s="51"/>
      <c r="E552" s="49"/>
      <c r="G552" s="49"/>
      <c r="H552" s="49"/>
      <c r="J552" s="51"/>
      <c r="K552" s="87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</row>
    <row r="553" spans="1:51" x14ac:dyDescent="0.2">
      <c r="A553" s="25"/>
      <c r="B553" s="25"/>
      <c r="C553" s="51"/>
      <c r="E553" s="49"/>
      <c r="F553" s="49"/>
      <c r="G553" s="49"/>
      <c r="H553" s="49"/>
      <c r="J553" s="51"/>
      <c r="K553" s="87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</row>
    <row r="554" spans="1:51" x14ac:dyDescent="0.2">
      <c r="C554" s="52"/>
      <c r="E554" s="49"/>
      <c r="G554" s="49"/>
      <c r="H554" s="49"/>
      <c r="J554" s="51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</row>
    <row r="555" spans="1:51" x14ac:dyDescent="0.2">
      <c r="E555" s="49"/>
      <c r="G555" s="49"/>
      <c r="H555" s="49"/>
      <c r="J555" s="51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</row>
    <row r="556" spans="1:51" x14ac:dyDescent="0.2">
      <c r="C556" s="52"/>
      <c r="E556" s="49"/>
      <c r="G556" s="49"/>
      <c r="H556" s="49"/>
      <c r="J556" s="10"/>
      <c r="K556" s="87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</row>
    <row r="557" spans="1:51" x14ac:dyDescent="0.2">
      <c r="C557" s="48"/>
      <c r="E557" s="47"/>
      <c r="G557" s="47"/>
      <c r="H557" s="47"/>
      <c r="J557" s="51"/>
      <c r="K557" s="87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</row>
    <row r="558" spans="1:51" x14ac:dyDescent="0.2">
      <c r="C558" s="51"/>
      <c r="J558" s="51"/>
      <c r="K558" s="87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</row>
    <row r="559" spans="1:51" x14ac:dyDescent="0.2">
      <c r="A559" s="25"/>
      <c r="B559" s="25"/>
      <c r="C559" s="10"/>
      <c r="E559" s="49"/>
      <c r="F559" s="49"/>
      <c r="G559" s="49"/>
      <c r="H559" s="49"/>
      <c r="J559" s="10"/>
      <c r="K559" s="87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</row>
    <row r="560" spans="1:51" x14ac:dyDescent="0.2">
      <c r="A560" s="25"/>
      <c r="B560" s="25"/>
      <c r="C560" s="52"/>
      <c r="E560" s="49"/>
      <c r="J560" s="51"/>
      <c r="K560" s="87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</row>
    <row r="561" spans="1:51" x14ac:dyDescent="0.2">
      <c r="C561" s="52"/>
      <c r="J561" s="51"/>
      <c r="K561" s="87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</row>
    <row r="562" spans="1:51" x14ac:dyDescent="0.2">
      <c r="C562" s="52"/>
      <c r="E562" s="49"/>
      <c r="G562" s="49"/>
      <c r="H562" s="49"/>
      <c r="J562" s="51"/>
      <c r="K562" s="87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</row>
    <row r="563" spans="1:51" x14ac:dyDescent="0.2">
      <c r="C563" s="52"/>
      <c r="E563" s="49"/>
      <c r="G563" s="49"/>
      <c r="H563" s="49"/>
      <c r="J563" s="51"/>
      <c r="K563" s="87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</row>
    <row r="564" spans="1:51" x14ac:dyDescent="0.2">
      <c r="C564" s="52"/>
      <c r="D564" s="56"/>
      <c r="E564" s="49"/>
      <c r="J564" s="51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</row>
    <row r="565" spans="1:51" x14ac:dyDescent="0.2">
      <c r="C565" s="52"/>
      <c r="E565" s="49"/>
      <c r="F565" s="49"/>
      <c r="G565" s="49"/>
      <c r="H565" s="49"/>
      <c r="J565" s="51"/>
      <c r="K565" s="87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</row>
    <row r="566" spans="1:51" ht="13.5" customHeight="1" x14ac:dyDescent="0.2">
      <c r="C566" s="52"/>
      <c r="E566" s="49"/>
      <c r="G566" s="49"/>
      <c r="H566" s="49"/>
      <c r="J566" s="51"/>
      <c r="K566" s="87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</row>
    <row r="567" spans="1:51" x14ac:dyDescent="0.2">
      <c r="C567" s="51"/>
      <c r="G567" s="49"/>
      <c r="H567" s="49"/>
      <c r="J567" s="51"/>
      <c r="K567" s="87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</row>
    <row r="568" spans="1:51" x14ac:dyDescent="0.2">
      <c r="A568" s="25"/>
      <c r="B568" s="25"/>
      <c r="C568" s="52"/>
      <c r="J568" s="51"/>
      <c r="K568" s="87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</row>
    <row r="569" spans="1:51" x14ac:dyDescent="0.2">
      <c r="C569" s="52"/>
      <c r="E569" s="49"/>
      <c r="J569" s="51"/>
      <c r="K569" s="87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</row>
    <row r="570" spans="1:51" x14ac:dyDescent="0.2">
      <c r="C570" s="51"/>
      <c r="E570" s="49"/>
      <c r="G570" s="49"/>
      <c r="H570" s="49"/>
      <c r="J570" s="26"/>
      <c r="K570" s="87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</row>
    <row r="571" spans="1:51" x14ac:dyDescent="0.2">
      <c r="C571" s="52"/>
      <c r="E571" s="49"/>
      <c r="G571" s="49"/>
      <c r="H571" s="49"/>
      <c r="J571" s="51"/>
      <c r="K571" s="87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</row>
    <row r="572" spans="1:51" x14ac:dyDescent="0.2">
      <c r="C572" s="52"/>
      <c r="E572" s="49"/>
      <c r="J572" s="51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</row>
    <row r="573" spans="1:51" x14ac:dyDescent="0.2">
      <c r="C573" s="52"/>
      <c r="E573" s="49"/>
      <c r="G573" s="49"/>
      <c r="H573" s="49"/>
      <c r="J573" s="51"/>
      <c r="K573" s="87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</row>
    <row r="574" spans="1:51" x14ac:dyDescent="0.2">
      <c r="C574" s="51"/>
      <c r="G574" s="79"/>
      <c r="H574" s="79"/>
      <c r="J574" s="51"/>
      <c r="K574" s="87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</row>
    <row r="575" spans="1:51" x14ac:dyDescent="0.2">
      <c r="C575" s="52"/>
      <c r="J575" s="23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</row>
    <row r="576" spans="1:51" x14ac:dyDescent="0.2">
      <c r="C576" s="10"/>
      <c r="E576" s="49"/>
      <c r="G576" s="49"/>
      <c r="H576" s="49"/>
      <c r="J576" s="10"/>
      <c r="K576" s="87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</row>
    <row r="577" spans="1:51" x14ac:dyDescent="0.2">
      <c r="C577" s="51"/>
      <c r="J577" s="51"/>
      <c r="K577" s="87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</row>
    <row r="578" spans="1:51" x14ac:dyDescent="0.2">
      <c r="C578" s="52"/>
      <c r="J578" s="51"/>
      <c r="K578" s="87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</row>
    <row r="579" spans="1:51" x14ac:dyDescent="0.2">
      <c r="C579" s="51"/>
      <c r="J579" s="51"/>
      <c r="K579" s="87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</row>
    <row r="580" spans="1:51" x14ac:dyDescent="0.2">
      <c r="C580" s="51"/>
      <c r="E580" s="49"/>
      <c r="G580" s="49"/>
      <c r="H580" s="49"/>
      <c r="J580" s="51"/>
      <c r="K580" s="87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</row>
    <row r="581" spans="1:51" x14ac:dyDescent="0.2">
      <c r="J581" s="51"/>
      <c r="K581" s="87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</row>
    <row r="582" spans="1:51" x14ac:dyDescent="0.2">
      <c r="C582" s="52"/>
      <c r="E582" s="49"/>
      <c r="G582" s="49"/>
      <c r="H582" s="49"/>
      <c r="J582" s="51"/>
      <c r="K582" s="87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</row>
    <row r="583" spans="1:51" x14ac:dyDescent="0.2">
      <c r="A583" s="87"/>
      <c r="B583" s="26"/>
      <c r="C583" s="51"/>
      <c r="J583" s="51"/>
      <c r="K583" s="87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</row>
    <row r="584" spans="1:51" x14ac:dyDescent="0.2">
      <c r="A584" s="87"/>
      <c r="B584" s="26"/>
      <c r="C584" s="52"/>
      <c r="D584" s="56"/>
      <c r="J584" s="51"/>
      <c r="K584" s="87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</row>
    <row r="585" spans="1:51" x14ac:dyDescent="0.2">
      <c r="A585" s="87"/>
      <c r="B585" s="26"/>
      <c r="C585" s="10"/>
      <c r="E585" s="49"/>
      <c r="G585" s="49"/>
      <c r="H585" s="49"/>
      <c r="J585" s="10"/>
      <c r="K585" s="87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</row>
    <row r="586" spans="1:51" x14ac:dyDescent="0.2">
      <c r="A586" s="87"/>
      <c r="B586" s="26"/>
      <c r="C586" s="51"/>
      <c r="E586" s="49"/>
      <c r="F586" s="49"/>
      <c r="G586" s="49"/>
      <c r="H586" s="49"/>
      <c r="J586" s="51"/>
      <c r="K586" s="87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</row>
    <row r="587" spans="1:51" x14ac:dyDescent="0.2">
      <c r="A587" s="87"/>
      <c r="B587" s="26"/>
      <c r="C587" s="51"/>
      <c r="E587" s="49"/>
      <c r="G587" s="49"/>
      <c r="H587" s="49"/>
      <c r="J587" s="10"/>
      <c r="K587" s="87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</row>
    <row r="588" spans="1:51" x14ac:dyDescent="0.2">
      <c r="A588" s="87"/>
      <c r="B588" s="26"/>
      <c r="C588" s="52"/>
      <c r="E588" s="49"/>
      <c r="G588" s="49"/>
      <c r="H588" s="49"/>
      <c r="J588" s="51"/>
      <c r="K588" s="87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</row>
    <row r="589" spans="1:51" x14ac:dyDescent="0.2">
      <c r="A589" s="87"/>
      <c r="B589" s="26"/>
      <c r="C589" s="52"/>
      <c r="E589" s="49"/>
      <c r="J589" s="51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</row>
    <row r="590" spans="1:51" x14ac:dyDescent="0.2">
      <c r="A590" s="87"/>
      <c r="B590" s="26"/>
      <c r="C590" s="52"/>
      <c r="J590" s="51"/>
      <c r="K590" s="87"/>
    </row>
    <row r="591" spans="1:51" x14ac:dyDescent="0.2">
      <c r="A591" s="87"/>
      <c r="B591" s="26"/>
      <c r="C591" s="52"/>
      <c r="J591" s="51"/>
      <c r="K591" s="87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</row>
    <row r="592" spans="1:51" x14ac:dyDescent="0.2">
      <c r="A592" s="87"/>
      <c r="B592" s="26"/>
      <c r="C592" s="52"/>
      <c r="E592" s="49"/>
      <c r="F592" s="49"/>
      <c r="G592" s="49"/>
      <c r="H592" s="49"/>
      <c r="J592" s="51"/>
      <c r="K592" s="87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</row>
    <row r="593" spans="1:51" x14ac:dyDescent="0.2">
      <c r="A593" s="87"/>
      <c r="B593" s="26"/>
      <c r="C593" s="10"/>
      <c r="E593" s="49"/>
      <c r="G593" s="49"/>
      <c r="H593" s="49"/>
      <c r="J593" s="10"/>
      <c r="K593" s="87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</row>
    <row r="594" spans="1:51" x14ac:dyDescent="0.2">
      <c r="A594" s="87"/>
      <c r="B594" s="26"/>
      <c r="C594" s="51"/>
      <c r="E594" s="49"/>
      <c r="G594" s="49"/>
      <c r="H594" s="49"/>
      <c r="J594" s="51"/>
      <c r="K594" s="87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</row>
    <row r="595" spans="1:51" x14ac:dyDescent="0.2">
      <c r="A595" s="87"/>
      <c r="B595" s="26"/>
      <c r="C595" s="51"/>
      <c r="J595" s="51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</row>
    <row r="596" spans="1:51" x14ac:dyDescent="0.2">
      <c r="A596" s="87"/>
      <c r="B596" s="26"/>
      <c r="E596" s="49"/>
      <c r="G596" s="49"/>
      <c r="H596" s="49"/>
      <c r="J596" s="51"/>
      <c r="K596" s="87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</row>
    <row r="597" spans="1:51" x14ac:dyDescent="0.2">
      <c r="A597" s="87"/>
      <c r="B597" s="26"/>
      <c r="C597" s="52"/>
      <c r="E597" s="49"/>
      <c r="F597" s="49"/>
      <c r="G597" s="49"/>
      <c r="H597" s="49"/>
      <c r="J597" s="51"/>
      <c r="K597" s="87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</row>
    <row r="598" spans="1:51" x14ac:dyDescent="0.2">
      <c r="A598" s="87"/>
      <c r="B598" s="26"/>
      <c r="C598" s="51"/>
      <c r="J598" s="51"/>
      <c r="K598" s="87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</row>
    <row r="599" spans="1:51" x14ac:dyDescent="0.2">
      <c r="C599" s="52"/>
      <c r="E599" s="49"/>
      <c r="G599" s="49"/>
      <c r="H599" s="49"/>
      <c r="J599" s="51"/>
      <c r="K599" s="87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</row>
    <row r="600" spans="1:51" x14ac:dyDescent="0.2">
      <c r="C600" s="51"/>
      <c r="J600" s="51"/>
      <c r="K600" s="87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</row>
    <row r="601" spans="1:51" x14ac:dyDescent="0.2">
      <c r="C601" s="10"/>
      <c r="E601" s="49"/>
      <c r="F601" s="49"/>
      <c r="G601" s="49"/>
      <c r="H601" s="49"/>
      <c r="J601" s="10"/>
      <c r="K601" s="87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</row>
    <row r="602" spans="1:51" x14ac:dyDescent="0.2">
      <c r="C602" s="51"/>
      <c r="J602" s="51"/>
      <c r="K602" s="87"/>
    </row>
    <row r="603" spans="1:51" x14ac:dyDescent="0.2">
      <c r="C603" s="10"/>
      <c r="E603" s="49"/>
      <c r="F603" s="49"/>
      <c r="G603" s="49"/>
      <c r="H603" s="49"/>
      <c r="I603" s="49"/>
      <c r="J603" s="52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</row>
    <row r="604" spans="1:51" x14ac:dyDescent="0.2">
      <c r="C604" s="10"/>
      <c r="E604" s="49"/>
      <c r="F604" s="49"/>
      <c r="G604" s="49"/>
      <c r="H604" s="49"/>
      <c r="I604" s="49"/>
      <c r="J604" s="52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</row>
    <row r="605" spans="1:51" x14ac:dyDescent="0.2">
      <c r="C605" s="52"/>
      <c r="E605" s="49"/>
      <c r="G605" s="49"/>
      <c r="H605" s="49"/>
      <c r="J605" s="51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</row>
    <row r="606" spans="1:51" x14ac:dyDescent="0.2">
      <c r="C606" s="52"/>
      <c r="J606" s="51"/>
      <c r="K606" s="87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</row>
    <row r="607" spans="1:51" x14ac:dyDescent="0.2">
      <c r="C607" s="51"/>
      <c r="E607" s="49"/>
      <c r="F607" s="49"/>
      <c r="G607" s="49"/>
      <c r="H607" s="49"/>
      <c r="J607" s="51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</row>
    <row r="608" spans="1:51" x14ac:dyDescent="0.2">
      <c r="C608" s="51"/>
      <c r="E608" s="49"/>
      <c r="F608" s="49"/>
      <c r="G608" s="49"/>
      <c r="H608" s="49"/>
      <c r="J608" s="51"/>
      <c r="K608" s="87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</row>
    <row r="609" spans="1:56" x14ac:dyDescent="0.2">
      <c r="C609" s="52"/>
      <c r="D609" s="56"/>
      <c r="J609" s="51"/>
      <c r="K609" s="87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</row>
    <row r="610" spans="1:56" x14ac:dyDescent="0.2">
      <c r="C610" s="52"/>
      <c r="D610" s="56"/>
      <c r="J610" s="51"/>
      <c r="K610" s="87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</row>
    <row r="611" spans="1:56" x14ac:dyDescent="0.2">
      <c r="C611" s="52"/>
      <c r="E611" s="49"/>
      <c r="G611" s="49"/>
      <c r="H611" s="49"/>
      <c r="J611" s="51"/>
      <c r="K611" s="87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</row>
    <row r="612" spans="1:56" x14ac:dyDescent="0.2">
      <c r="C612" s="52"/>
      <c r="D612" s="56"/>
      <c r="E612" s="49"/>
      <c r="J612" s="51"/>
      <c r="K612" s="87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</row>
    <row r="613" spans="1:56" x14ac:dyDescent="0.2">
      <c r="A613" s="25"/>
      <c r="B613" s="25"/>
      <c r="C613" s="51"/>
      <c r="G613" s="49"/>
      <c r="H613" s="49"/>
      <c r="J613" s="51"/>
      <c r="K613" s="87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</row>
    <row r="614" spans="1:56" x14ac:dyDescent="0.2">
      <c r="C614" s="52"/>
      <c r="E614" s="49"/>
      <c r="G614" s="49"/>
      <c r="H614" s="49"/>
      <c r="J614" s="51"/>
      <c r="K614" s="87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</row>
    <row r="615" spans="1:56" x14ac:dyDescent="0.2">
      <c r="A615" s="25"/>
      <c r="B615" s="25"/>
      <c r="C615" s="52"/>
      <c r="E615" s="49"/>
      <c r="F615" s="49"/>
      <c r="G615" s="49"/>
      <c r="H615" s="49"/>
      <c r="J615" s="51"/>
      <c r="K615" s="87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</row>
    <row r="616" spans="1:56" x14ac:dyDescent="0.2">
      <c r="C616" s="51"/>
      <c r="J616" s="51"/>
      <c r="K616" s="87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</row>
    <row r="617" spans="1:56" x14ac:dyDescent="0.2">
      <c r="C617" s="51"/>
      <c r="J617" s="51"/>
      <c r="K617" s="87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</row>
    <row r="618" spans="1:56" x14ac:dyDescent="0.2">
      <c r="C618" s="51"/>
      <c r="J618" s="51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</row>
    <row r="619" spans="1:56" x14ac:dyDescent="0.2">
      <c r="C619" s="52"/>
      <c r="E619" s="49"/>
      <c r="G619" s="49"/>
      <c r="H619" s="49"/>
      <c r="J619" s="51"/>
      <c r="K619" s="87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</row>
    <row r="620" spans="1:56" x14ac:dyDescent="0.2">
      <c r="C620" s="52"/>
      <c r="E620" s="49"/>
      <c r="J620" s="51"/>
      <c r="K620" s="87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</row>
    <row r="621" spans="1:56" x14ac:dyDescent="0.2">
      <c r="A621" s="25"/>
      <c r="B621" s="25"/>
      <c r="C621" s="52"/>
      <c r="E621" s="49"/>
      <c r="G621" s="49"/>
      <c r="H621" s="49"/>
      <c r="J621" s="51"/>
      <c r="K621" s="87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</row>
    <row r="622" spans="1:56" x14ac:dyDescent="0.2">
      <c r="C622" s="10"/>
      <c r="E622" s="49"/>
      <c r="G622" s="49"/>
      <c r="H622" s="49"/>
      <c r="J622" s="10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</row>
    <row r="623" spans="1:56" x14ac:dyDescent="0.2">
      <c r="C623" s="10"/>
      <c r="E623" s="49"/>
      <c r="F623" s="49"/>
      <c r="G623" s="49"/>
      <c r="H623" s="49"/>
      <c r="J623" s="10"/>
      <c r="K623" s="87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42"/>
      <c r="BA623" s="42"/>
      <c r="BB623" s="51"/>
      <c r="BC623" s="89"/>
      <c r="BD623" s="89"/>
    </row>
    <row r="624" spans="1:56" x14ac:dyDescent="0.2">
      <c r="C624" s="51"/>
      <c r="J624" s="51"/>
      <c r="K624" s="87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</row>
    <row r="625" spans="1:51" x14ac:dyDescent="0.2">
      <c r="C625" s="51"/>
      <c r="J625" s="51"/>
      <c r="K625" s="87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</row>
    <row r="626" spans="1:51" x14ac:dyDescent="0.2">
      <c r="A626" s="25"/>
      <c r="B626" s="25"/>
      <c r="C626" s="51"/>
      <c r="J626" s="51"/>
      <c r="K626" s="87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</row>
    <row r="627" spans="1:51" x14ac:dyDescent="0.2">
      <c r="C627" s="52"/>
      <c r="J627" s="51"/>
      <c r="K627" s="87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</row>
    <row r="628" spans="1:51" x14ac:dyDescent="0.2">
      <c r="C628" s="51"/>
      <c r="J628" s="51"/>
      <c r="K628" s="87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</row>
    <row r="629" spans="1:51" x14ac:dyDescent="0.2">
      <c r="A629" s="25"/>
      <c r="B629" s="25"/>
      <c r="C629" s="51"/>
      <c r="E629" s="49"/>
      <c r="G629" s="49"/>
      <c r="H629" s="49"/>
      <c r="J629" s="51"/>
      <c r="K629" s="87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</row>
    <row r="630" spans="1:51" x14ac:dyDescent="0.2">
      <c r="J630" s="51"/>
      <c r="K630" s="87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</row>
    <row r="631" spans="1:51" x14ac:dyDescent="0.2">
      <c r="C631" s="52"/>
      <c r="E631" s="49"/>
      <c r="G631" s="49"/>
      <c r="H631" s="49"/>
      <c r="J631" s="51"/>
      <c r="K631" s="87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</row>
    <row r="632" spans="1:51" x14ac:dyDescent="0.2">
      <c r="C632" s="51"/>
      <c r="E632" s="49"/>
      <c r="G632" s="49"/>
      <c r="H632" s="49"/>
      <c r="J632" s="51"/>
      <c r="K632" s="87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</row>
    <row r="633" spans="1:51" x14ac:dyDescent="0.2">
      <c r="C633" s="52"/>
      <c r="E633" s="49"/>
      <c r="G633" s="49"/>
      <c r="H633" s="49"/>
      <c r="J633" s="51"/>
      <c r="K633" s="87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</row>
    <row r="634" spans="1:51" x14ac:dyDescent="0.2">
      <c r="C634" s="52"/>
      <c r="D634" s="56"/>
      <c r="J634" s="51"/>
      <c r="K634" s="87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</row>
    <row r="635" spans="1:51" x14ac:dyDescent="0.2">
      <c r="A635" s="25"/>
      <c r="B635" s="25"/>
      <c r="C635" s="10"/>
      <c r="E635" s="49"/>
      <c r="G635" s="49"/>
      <c r="H635" s="49"/>
      <c r="J635" s="10"/>
      <c r="K635" s="87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  <c r="AW635" s="86"/>
      <c r="AX635" s="86"/>
      <c r="AY635" s="86"/>
    </row>
    <row r="636" spans="1:51" x14ac:dyDescent="0.2">
      <c r="C636" s="52"/>
      <c r="E636" s="49"/>
      <c r="G636" s="49"/>
      <c r="H636" s="49"/>
      <c r="J636" s="51"/>
      <c r="K636" s="87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  <c r="AW636" s="86"/>
      <c r="AX636" s="86"/>
      <c r="AY636" s="86"/>
    </row>
    <row r="637" spans="1:51" x14ac:dyDescent="0.2">
      <c r="C637" s="51"/>
      <c r="E637" s="49"/>
      <c r="G637" s="49"/>
      <c r="H637" s="49"/>
      <c r="J637" s="10"/>
      <c r="K637" s="87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</row>
    <row r="638" spans="1:51" x14ac:dyDescent="0.2">
      <c r="C638" s="52"/>
      <c r="E638" s="49"/>
      <c r="J638" s="51"/>
      <c r="K638" s="87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</row>
    <row r="639" spans="1:51" x14ac:dyDescent="0.2">
      <c r="C639" s="52"/>
      <c r="D639" s="56"/>
      <c r="E639" s="49"/>
      <c r="J639" s="51"/>
      <c r="K639" s="87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</row>
    <row r="640" spans="1:51" x14ac:dyDescent="0.2">
      <c r="C640" s="52"/>
      <c r="E640" s="49"/>
      <c r="G640" s="49"/>
      <c r="H640" s="49"/>
      <c r="J640" s="51"/>
      <c r="K640" s="87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B640" s="86"/>
      <c r="AC640" s="86"/>
      <c r="AD640" s="86"/>
      <c r="AE640" s="86"/>
      <c r="AF640" s="86"/>
      <c r="AG640" s="86"/>
      <c r="AH640" s="86"/>
      <c r="AI640" s="86"/>
      <c r="AJ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</row>
    <row r="641" spans="1:51" x14ac:dyDescent="0.2">
      <c r="C641" s="52"/>
      <c r="E641" s="49"/>
      <c r="F641" s="49"/>
      <c r="G641" s="49"/>
      <c r="H641" s="49"/>
      <c r="J641" s="51"/>
      <c r="K641" s="87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</row>
    <row r="642" spans="1:51" x14ac:dyDescent="0.2">
      <c r="C642" s="51"/>
      <c r="J642" s="51"/>
      <c r="K642" s="87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</row>
    <row r="643" spans="1:51" x14ac:dyDescent="0.2">
      <c r="C643" s="52"/>
      <c r="E643" s="49"/>
      <c r="F643" s="49"/>
      <c r="G643" s="49"/>
      <c r="H643" s="49"/>
      <c r="J643" s="51"/>
      <c r="K643" s="87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</row>
    <row r="644" spans="1:51" x14ac:dyDescent="0.2">
      <c r="C644" s="10"/>
      <c r="E644" s="49"/>
      <c r="G644" s="49"/>
      <c r="H644" s="49"/>
      <c r="J644" s="10"/>
      <c r="K644" s="87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</row>
    <row r="645" spans="1:51" x14ac:dyDescent="0.2">
      <c r="C645" s="52"/>
      <c r="J645" s="23"/>
      <c r="K645" s="87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</row>
    <row r="646" spans="1:51" x14ac:dyDescent="0.2">
      <c r="C646" s="51"/>
      <c r="E646" s="49"/>
      <c r="G646" s="49"/>
      <c r="H646" s="49"/>
      <c r="J646" s="51"/>
      <c r="K646" s="87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</row>
    <row r="647" spans="1:51" x14ac:dyDescent="0.2">
      <c r="A647" s="87"/>
      <c r="B647" s="26"/>
      <c r="C647" s="52"/>
      <c r="E647" s="49"/>
      <c r="J647" s="51"/>
      <c r="K647" s="87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</row>
    <row r="648" spans="1:51" x14ac:dyDescent="0.2">
      <c r="A648" s="87"/>
      <c r="B648" s="26"/>
      <c r="C648" s="51"/>
      <c r="J648" s="51"/>
      <c r="K648" s="87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</row>
    <row r="649" spans="1:51" x14ac:dyDescent="0.2">
      <c r="A649" s="87"/>
      <c r="B649" s="26"/>
      <c r="C649" s="52"/>
      <c r="E649" s="49"/>
      <c r="G649" s="49"/>
      <c r="H649" s="49"/>
      <c r="J649" s="51"/>
      <c r="K649" s="87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</row>
    <row r="650" spans="1:51" x14ac:dyDescent="0.2">
      <c r="A650" s="87"/>
      <c r="B650" s="26"/>
      <c r="C650" s="51"/>
      <c r="J650" s="51"/>
      <c r="K650" s="87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</row>
    <row r="651" spans="1:51" x14ac:dyDescent="0.2">
      <c r="A651" s="87"/>
      <c r="B651" s="26"/>
      <c r="E651" s="49"/>
      <c r="G651" s="49"/>
      <c r="H651" s="49"/>
      <c r="J651" s="51"/>
      <c r="K651" s="87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</row>
    <row r="652" spans="1:51" x14ac:dyDescent="0.2">
      <c r="A652" s="87"/>
      <c r="B652" s="26"/>
      <c r="E652" s="49"/>
      <c r="G652" s="49"/>
      <c r="H652" s="49"/>
      <c r="J652" s="51"/>
      <c r="K652" s="87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B652" s="86"/>
      <c r="AC652" s="86"/>
      <c r="AD652" s="86"/>
      <c r="AE652" s="86"/>
      <c r="AF652" s="86"/>
      <c r="AG652" s="86"/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</row>
    <row r="653" spans="1:51" x14ac:dyDescent="0.2">
      <c r="A653" s="87"/>
      <c r="B653" s="26"/>
      <c r="E653" s="49"/>
      <c r="G653" s="49"/>
      <c r="H653" s="49"/>
      <c r="J653" s="51"/>
      <c r="K653" s="87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</row>
    <row r="654" spans="1:51" x14ac:dyDescent="0.2">
      <c r="A654" s="87"/>
      <c r="B654" s="26"/>
      <c r="C654" s="52"/>
      <c r="E654" s="49"/>
      <c r="F654" s="49"/>
      <c r="G654" s="49"/>
      <c r="H654" s="49"/>
      <c r="J654" s="51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</row>
    <row r="655" spans="1:51" x14ac:dyDescent="0.2">
      <c r="A655" s="87"/>
      <c r="B655" s="26"/>
      <c r="C655" s="52"/>
      <c r="E655" s="49"/>
      <c r="G655" s="49"/>
      <c r="H655" s="49"/>
      <c r="J655" s="51"/>
      <c r="K655" s="87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</row>
    <row r="656" spans="1:51" x14ac:dyDescent="0.2">
      <c r="A656" s="87"/>
      <c r="B656" s="26"/>
      <c r="C656" s="52"/>
      <c r="E656" s="49"/>
      <c r="G656" s="49"/>
      <c r="H656" s="49"/>
      <c r="J656" s="51"/>
      <c r="K656" s="87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</row>
    <row r="657" spans="1:56" x14ac:dyDescent="0.2">
      <c r="A657" s="87"/>
      <c r="B657" s="26"/>
      <c r="C657" s="51"/>
      <c r="J657" s="51"/>
      <c r="K657" s="87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</row>
    <row r="658" spans="1:56" x14ac:dyDescent="0.2">
      <c r="A658" s="87"/>
      <c r="B658" s="26"/>
      <c r="C658" s="51"/>
      <c r="E658" s="49"/>
      <c r="G658" s="49"/>
      <c r="H658" s="49"/>
      <c r="J658" s="51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</row>
    <row r="659" spans="1:56" x14ac:dyDescent="0.2">
      <c r="A659" s="87"/>
      <c r="B659" s="26"/>
      <c r="C659" s="10"/>
      <c r="E659" s="49"/>
      <c r="F659" s="49"/>
      <c r="G659" s="49"/>
      <c r="H659" s="49"/>
      <c r="J659" s="10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</row>
    <row r="660" spans="1:56" x14ac:dyDescent="0.2">
      <c r="A660" s="87"/>
      <c r="B660" s="26"/>
      <c r="C660" s="51"/>
      <c r="E660" s="49"/>
      <c r="F660" s="49"/>
      <c r="G660" s="49"/>
      <c r="H660" s="49"/>
      <c r="J660" s="51"/>
      <c r="K660" s="87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</row>
    <row r="661" spans="1:56" x14ac:dyDescent="0.2">
      <c r="A661" s="87"/>
      <c r="B661" s="26"/>
      <c r="C661" s="51"/>
      <c r="E661" s="49"/>
      <c r="F661" s="49"/>
      <c r="G661" s="49"/>
      <c r="H661" s="49"/>
      <c r="J661" s="51"/>
      <c r="K661" s="87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50"/>
      <c r="BC661" s="88"/>
      <c r="BD661" s="88"/>
    </row>
    <row r="662" spans="1:56" x14ac:dyDescent="0.2">
      <c r="A662" s="87"/>
      <c r="B662" s="26"/>
      <c r="C662" s="51"/>
      <c r="E662" s="49"/>
      <c r="G662" s="49"/>
      <c r="H662" s="49"/>
      <c r="J662" s="51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</row>
    <row r="663" spans="1:56" x14ac:dyDescent="0.2">
      <c r="A663" s="87"/>
      <c r="B663" s="26"/>
      <c r="C663" s="51"/>
      <c r="J663" s="51"/>
      <c r="K663" s="87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</row>
    <row r="664" spans="1:56" x14ac:dyDescent="0.2">
      <c r="A664" s="87"/>
      <c r="B664" s="26"/>
      <c r="E664" s="49"/>
      <c r="G664" s="49"/>
      <c r="H664" s="49"/>
      <c r="J664" s="51"/>
      <c r="K664" s="87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</row>
    <row r="665" spans="1:56" x14ac:dyDescent="0.2">
      <c r="A665" s="87"/>
      <c r="B665" s="26"/>
      <c r="C665" s="51"/>
      <c r="J665" s="51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</row>
    <row r="666" spans="1:56" x14ac:dyDescent="0.2">
      <c r="A666" s="87"/>
      <c r="B666" s="26"/>
      <c r="C666" s="51"/>
      <c r="J666" s="51"/>
      <c r="K666" s="87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</row>
    <row r="667" spans="1:56" x14ac:dyDescent="0.2">
      <c r="A667" s="87"/>
      <c r="B667" s="26"/>
      <c r="C667" s="51"/>
      <c r="J667" s="51"/>
      <c r="K667" s="87"/>
    </row>
    <row r="668" spans="1:56" x14ac:dyDescent="0.2">
      <c r="A668" s="87"/>
      <c r="B668" s="26"/>
      <c r="C668" s="52"/>
      <c r="E668" s="49"/>
      <c r="G668" s="49"/>
      <c r="H668" s="49"/>
      <c r="J668" s="51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</row>
    <row r="669" spans="1:56" x14ac:dyDescent="0.2">
      <c r="A669" s="87"/>
      <c r="B669" s="26"/>
      <c r="C669" s="51"/>
      <c r="E669" s="49"/>
      <c r="G669" s="49"/>
      <c r="H669" s="49"/>
      <c r="J669" s="51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</row>
    <row r="670" spans="1:56" x14ac:dyDescent="0.2">
      <c r="A670" s="87"/>
      <c r="B670" s="26"/>
      <c r="C670" s="51"/>
      <c r="E670" s="49"/>
      <c r="G670" s="49"/>
      <c r="H670" s="49"/>
      <c r="J670" s="51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</row>
    <row r="671" spans="1:56" x14ac:dyDescent="0.2">
      <c r="A671" s="87"/>
      <c r="B671" s="26"/>
      <c r="C671" s="52"/>
      <c r="E671" s="49"/>
      <c r="F671" s="49"/>
      <c r="G671" s="49"/>
      <c r="H671" s="49"/>
      <c r="J671" s="51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</row>
    <row r="672" spans="1:56" x14ac:dyDescent="0.2">
      <c r="A672" s="87"/>
      <c r="B672" s="26"/>
      <c r="C672" s="52"/>
      <c r="E672" s="49"/>
      <c r="J672" s="51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</row>
    <row r="673" spans="1:51" x14ac:dyDescent="0.2">
      <c r="A673" s="87"/>
      <c r="B673" s="26"/>
      <c r="C673" s="52"/>
      <c r="E673" s="49"/>
      <c r="G673" s="49"/>
      <c r="H673" s="49"/>
      <c r="J673" s="51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</row>
    <row r="674" spans="1:51" x14ac:dyDescent="0.2">
      <c r="A674" s="87"/>
      <c r="B674" s="26"/>
      <c r="C674" s="52"/>
      <c r="E674" s="49"/>
      <c r="G674" s="49"/>
      <c r="H674" s="49"/>
      <c r="J674" s="51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</row>
    <row r="675" spans="1:51" x14ac:dyDescent="0.2">
      <c r="A675" s="87"/>
      <c r="B675" s="26"/>
      <c r="E675" s="49"/>
      <c r="G675" s="49"/>
      <c r="H675" s="49"/>
      <c r="J675" s="51"/>
      <c r="K675" s="87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</row>
    <row r="676" spans="1:51" x14ac:dyDescent="0.2">
      <c r="A676" s="87"/>
      <c r="B676" s="26"/>
      <c r="E676" s="49"/>
      <c r="G676" s="49"/>
      <c r="H676" s="49"/>
      <c r="J676" s="51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</row>
    <row r="677" spans="1:51" x14ac:dyDescent="0.2">
      <c r="A677" s="87"/>
      <c r="B677" s="26"/>
      <c r="C677" s="52"/>
      <c r="E677" s="49"/>
      <c r="G677" s="49"/>
      <c r="H677" s="49"/>
      <c r="J677" s="51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</row>
    <row r="678" spans="1:51" x14ac:dyDescent="0.2">
      <c r="A678" s="87"/>
      <c r="B678" s="26"/>
      <c r="C678" s="10"/>
      <c r="E678" s="49"/>
      <c r="G678" s="49"/>
      <c r="H678" s="49"/>
      <c r="J678" s="10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</row>
    <row r="679" spans="1:51" x14ac:dyDescent="0.2">
      <c r="A679" s="87"/>
      <c r="B679" s="26"/>
      <c r="C679" s="52"/>
      <c r="D679" s="56"/>
      <c r="E679" s="49"/>
      <c r="J679" s="51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</row>
    <row r="680" spans="1:51" x14ac:dyDescent="0.2">
      <c r="A680" s="87"/>
      <c r="B680" s="26"/>
      <c r="C680" s="52"/>
      <c r="E680" s="49"/>
      <c r="J680" s="51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</row>
    <row r="681" spans="1:51" x14ac:dyDescent="0.2">
      <c r="A681" s="87"/>
      <c r="B681" s="26"/>
      <c r="C681" s="51"/>
      <c r="J681" s="51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</row>
    <row r="682" spans="1:51" x14ac:dyDescent="0.2">
      <c r="A682" s="87"/>
      <c r="B682" s="26"/>
      <c r="C682" s="52"/>
      <c r="J682" s="51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</row>
    <row r="683" spans="1:51" x14ac:dyDescent="0.2">
      <c r="A683" s="87"/>
      <c r="B683" s="26"/>
      <c r="C683" s="51"/>
      <c r="J683" s="51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</row>
    <row r="684" spans="1:51" x14ac:dyDescent="0.2">
      <c r="A684" s="87"/>
      <c r="B684" s="26"/>
      <c r="C684" s="51"/>
      <c r="E684" s="49"/>
      <c r="G684" s="49"/>
      <c r="H684" s="49"/>
      <c r="J684" s="51"/>
      <c r="K684" s="87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B684" s="86"/>
      <c r="AC684" s="86"/>
      <c r="AD684" s="86"/>
      <c r="AE684" s="86"/>
      <c r="AF684" s="86"/>
      <c r="AG684" s="86"/>
      <c r="AH684" s="86"/>
      <c r="AI684" s="86"/>
      <c r="AJ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</row>
    <row r="685" spans="1:51" x14ac:dyDescent="0.2">
      <c r="A685" s="87"/>
      <c r="B685" s="26"/>
      <c r="J685" s="51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</row>
    <row r="686" spans="1:51" x14ac:dyDescent="0.2">
      <c r="A686" s="87"/>
      <c r="B686" s="26"/>
      <c r="C686" s="52"/>
      <c r="D686" s="56"/>
      <c r="J686" s="51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</row>
    <row r="687" spans="1:51" x14ac:dyDescent="0.2">
      <c r="A687" s="87"/>
      <c r="B687" s="26"/>
      <c r="C687" s="10"/>
      <c r="E687" s="49"/>
      <c r="G687" s="49"/>
      <c r="H687" s="49"/>
      <c r="J687" s="10"/>
      <c r="K687" s="87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</row>
    <row r="688" spans="1:51" x14ac:dyDescent="0.2">
      <c r="A688" s="87"/>
      <c r="B688" s="26"/>
      <c r="C688" s="51"/>
      <c r="E688" s="49"/>
      <c r="G688" s="49"/>
      <c r="H688" s="49"/>
      <c r="J688" s="10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</row>
    <row r="689" spans="1:51" x14ac:dyDescent="0.2">
      <c r="A689" s="87"/>
      <c r="B689" s="26"/>
      <c r="C689" s="52"/>
      <c r="E689" s="49"/>
      <c r="G689" s="49"/>
      <c r="H689" s="49"/>
      <c r="J689" s="51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</row>
    <row r="690" spans="1:51" x14ac:dyDescent="0.2">
      <c r="A690" s="87"/>
      <c r="B690" s="26"/>
      <c r="J690" s="51"/>
      <c r="K690" s="87"/>
    </row>
    <row r="691" spans="1:51" x14ac:dyDescent="0.2">
      <c r="A691" s="87"/>
      <c r="B691" s="26"/>
      <c r="C691" s="51"/>
      <c r="J691" s="51"/>
      <c r="K691" s="87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</row>
    <row r="692" spans="1:51" x14ac:dyDescent="0.2">
      <c r="A692" s="87"/>
      <c r="B692" s="26"/>
      <c r="C692" s="51"/>
      <c r="J692" s="51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</row>
    <row r="693" spans="1:51" x14ac:dyDescent="0.2">
      <c r="A693" s="87"/>
      <c r="B693" s="26"/>
      <c r="C693" s="52"/>
      <c r="D693" s="56"/>
      <c r="E693" s="49"/>
      <c r="J693" s="51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</row>
    <row r="694" spans="1:51" x14ac:dyDescent="0.2">
      <c r="A694" s="87"/>
      <c r="B694" s="26"/>
      <c r="C694" s="52"/>
      <c r="E694" s="49"/>
      <c r="F694" s="49"/>
      <c r="G694" s="49"/>
      <c r="H694" s="49"/>
      <c r="J694" s="51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</row>
    <row r="695" spans="1:51" x14ac:dyDescent="0.2">
      <c r="A695" s="87"/>
      <c r="B695" s="26"/>
      <c r="C695" s="51"/>
      <c r="J695" s="51"/>
      <c r="K695" s="87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</row>
    <row r="696" spans="1:51" x14ac:dyDescent="0.2">
      <c r="A696" s="87"/>
      <c r="B696" s="26"/>
      <c r="C696" s="51"/>
      <c r="J696" s="51"/>
      <c r="K696" s="87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</row>
    <row r="697" spans="1:51" x14ac:dyDescent="0.2">
      <c r="A697" s="87"/>
      <c r="B697" s="26"/>
      <c r="C697" s="52"/>
      <c r="E697" s="49"/>
      <c r="J697" s="51"/>
      <c r="K697" s="87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</row>
    <row r="698" spans="1:51" x14ac:dyDescent="0.2">
      <c r="A698" s="87"/>
      <c r="B698" s="26"/>
      <c r="C698" s="10"/>
      <c r="E698" s="49"/>
      <c r="G698" s="49"/>
      <c r="H698" s="49"/>
      <c r="J698" s="10"/>
      <c r="K698" s="87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</row>
    <row r="699" spans="1:51" x14ac:dyDescent="0.2">
      <c r="A699" s="87"/>
      <c r="B699" s="26"/>
      <c r="C699" s="51"/>
      <c r="J699" s="51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</row>
    <row r="700" spans="1:51" x14ac:dyDescent="0.2">
      <c r="A700" s="87"/>
      <c r="B700" s="26"/>
      <c r="C700" s="52"/>
      <c r="E700" s="49"/>
      <c r="J700" s="51"/>
      <c r="K700" s="87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</row>
    <row r="701" spans="1:51" x14ac:dyDescent="0.2">
      <c r="A701" s="87"/>
      <c r="B701" s="26"/>
      <c r="C701" s="51"/>
      <c r="J701" s="51"/>
      <c r="K701" s="87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</row>
    <row r="702" spans="1:51" x14ac:dyDescent="0.2">
      <c r="A702" s="87"/>
      <c r="B702" s="26"/>
      <c r="C702" s="51"/>
      <c r="J702" s="51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</row>
    <row r="703" spans="1:51" x14ac:dyDescent="0.2">
      <c r="A703" s="87"/>
      <c r="B703" s="26"/>
      <c r="C703" s="51"/>
      <c r="J703" s="51"/>
      <c r="K703" s="87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</row>
    <row r="704" spans="1:51" x14ac:dyDescent="0.2">
      <c r="A704" s="87"/>
      <c r="B704" s="26"/>
      <c r="E704" s="49"/>
      <c r="G704" s="49"/>
      <c r="H704" s="49"/>
      <c r="J704" s="51"/>
      <c r="K704" s="87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</row>
    <row r="705" spans="1:51" x14ac:dyDescent="0.2">
      <c r="A705" s="87"/>
      <c r="B705" s="26"/>
      <c r="C705" s="52"/>
      <c r="E705" s="49"/>
      <c r="F705" s="49"/>
      <c r="G705" s="49"/>
      <c r="H705" s="49"/>
      <c r="J705" s="51"/>
      <c r="K705" s="87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</row>
    <row r="706" spans="1:51" x14ac:dyDescent="0.2">
      <c r="A706" s="87"/>
      <c r="B706" s="26"/>
      <c r="C706" s="51"/>
      <c r="J706" s="51"/>
      <c r="K706" s="87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</row>
    <row r="707" spans="1:51" x14ac:dyDescent="0.2">
      <c r="A707" s="87"/>
      <c r="B707" s="26"/>
      <c r="E707" s="49"/>
      <c r="G707" s="49"/>
      <c r="H707" s="49"/>
      <c r="J707" s="51"/>
      <c r="K707" s="87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</row>
    <row r="708" spans="1:51" x14ac:dyDescent="0.2">
      <c r="A708" s="87"/>
      <c r="B708" s="26"/>
      <c r="C708" s="51"/>
      <c r="E708" s="49"/>
      <c r="G708" s="49"/>
      <c r="H708" s="49"/>
      <c r="J708" s="51"/>
      <c r="K708" s="87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</row>
    <row r="709" spans="1:51" x14ac:dyDescent="0.2">
      <c r="A709" s="87"/>
      <c r="B709" s="26"/>
      <c r="C709" s="10"/>
      <c r="E709" s="49"/>
      <c r="F709" s="49"/>
      <c r="G709" s="49"/>
      <c r="H709" s="49"/>
      <c r="J709" s="10"/>
      <c r="K709" s="87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</row>
    <row r="710" spans="1:51" x14ac:dyDescent="0.2">
      <c r="A710" s="87"/>
      <c r="B710" s="26"/>
      <c r="C710" s="52"/>
      <c r="E710" s="49"/>
      <c r="J710" s="51"/>
      <c r="K710" s="87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</row>
    <row r="711" spans="1:51" x14ac:dyDescent="0.2">
      <c r="A711" s="25"/>
      <c r="B711" s="25"/>
      <c r="C711" s="51"/>
      <c r="E711" s="49"/>
      <c r="F711" s="49"/>
      <c r="G711" s="49"/>
      <c r="H711" s="49"/>
      <c r="J711" s="51"/>
      <c r="K711" s="87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</row>
    <row r="712" spans="1:51" x14ac:dyDescent="0.2">
      <c r="C712" s="51"/>
      <c r="J712" s="51"/>
      <c r="K712" s="87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</row>
    <row r="713" spans="1:51" x14ac:dyDescent="0.2">
      <c r="C713" s="51"/>
      <c r="J713" s="51"/>
      <c r="K713" s="87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</row>
    <row r="714" spans="1:51" x14ac:dyDescent="0.2">
      <c r="C714" s="52"/>
      <c r="D714" s="56"/>
      <c r="J714" s="51"/>
      <c r="K714" s="87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</row>
    <row r="715" spans="1:51" x14ac:dyDescent="0.2">
      <c r="C715" s="51"/>
      <c r="J715" s="51"/>
      <c r="K715" s="87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</row>
    <row r="716" spans="1:51" x14ac:dyDescent="0.2">
      <c r="C716" s="51"/>
      <c r="D716" s="56"/>
      <c r="J716" s="51"/>
      <c r="K716" s="87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</row>
    <row r="717" spans="1:51" x14ac:dyDescent="0.2">
      <c r="C717" s="52"/>
      <c r="J717" s="51"/>
      <c r="K717" s="87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</row>
    <row r="718" spans="1:51" x14ac:dyDescent="0.2">
      <c r="C718" s="52"/>
      <c r="J718" s="51"/>
      <c r="K718" s="87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</row>
    <row r="719" spans="1:51" x14ac:dyDescent="0.2">
      <c r="C719" s="52"/>
      <c r="E719" s="49"/>
      <c r="G719" s="49"/>
      <c r="H719" s="49"/>
      <c r="J719" s="51"/>
      <c r="K719" s="87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</row>
    <row r="720" spans="1:51" x14ac:dyDescent="0.2">
      <c r="C720" s="51"/>
      <c r="E720" s="49"/>
      <c r="F720" s="49"/>
      <c r="G720" s="49"/>
      <c r="H720" s="49"/>
      <c r="J720" s="51"/>
      <c r="K720" s="87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B720" s="86"/>
      <c r="AC720" s="86"/>
      <c r="AD720" s="86"/>
      <c r="AE720" s="86"/>
      <c r="AF720" s="86"/>
      <c r="AG720" s="86"/>
      <c r="AH720" s="86"/>
      <c r="AI720" s="86"/>
      <c r="AJ720" s="86"/>
      <c r="AK720" s="86"/>
      <c r="AL720" s="86"/>
      <c r="AM720" s="86"/>
      <c r="AN720" s="86"/>
      <c r="AO720" s="86"/>
      <c r="AP720" s="86"/>
      <c r="AQ720" s="86"/>
      <c r="AR720" s="86"/>
      <c r="AS720" s="86"/>
      <c r="AT720" s="86"/>
      <c r="AU720" s="86"/>
      <c r="AV720" s="86"/>
      <c r="AW720" s="86"/>
      <c r="AX720" s="86"/>
      <c r="AY720" s="86"/>
    </row>
    <row r="721" spans="1:53" x14ac:dyDescent="0.2">
      <c r="C721" s="52"/>
      <c r="E721" s="49"/>
      <c r="G721" s="49"/>
      <c r="H721" s="49"/>
      <c r="J721" s="51"/>
      <c r="K721" s="87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</row>
    <row r="722" spans="1:53" x14ac:dyDescent="0.2">
      <c r="C722" s="51"/>
      <c r="E722" s="49"/>
      <c r="G722" s="49"/>
      <c r="H722" s="49"/>
      <c r="J722" s="51"/>
      <c r="K722" s="87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</row>
    <row r="723" spans="1:53" x14ac:dyDescent="0.2">
      <c r="C723" s="52"/>
      <c r="J723" s="51"/>
      <c r="K723" s="87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</row>
    <row r="724" spans="1:53" x14ac:dyDescent="0.2">
      <c r="C724" s="10"/>
      <c r="E724" s="49"/>
      <c r="G724" s="49"/>
      <c r="H724" s="49"/>
      <c r="J724" s="51"/>
      <c r="K724" s="87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</row>
    <row r="725" spans="1:53" x14ac:dyDescent="0.2">
      <c r="C725" s="52"/>
      <c r="E725" s="49"/>
      <c r="G725" s="49"/>
      <c r="H725" s="49"/>
      <c r="J725" s="51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</row>
    <row r="726" spans="1:53" x14ac:dyDescent="0.2">
      <c r="C726" s="51"/>
      <c r="D726" s="71"/>
      <c r="G726" s="79"/>
      <c r="H726" s="79"/>
      <c r="J726" s="51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</row>
    <row r="727" spans="1:53" x14ac:dyDescent="0.2">
      <c r="A727" s="87"/>
      <c r="B727" s="26"/>
      <c r="C727" s="51"/>
      <c r="E727" s="49"/>
      <c r="G727" s="49"/>
      <c r="H727" s="49"/>
      <c r="J727" s="51"/>
      <c r="K727" s="87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</row>
    <row r="728" spans="1:53" x14ac:dyDescent="0.2">
      <c r="A728" s="87"/>
      <c r="B728" s="26"/>
      <c r="C728" s="52"/>
      <c r="E728" s="49"/>
      <c r="G728" s="49"/>
      <c r="H728" s="49"/>
      <c r="J728" s="10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</row>
    <row r="729" spans="1:53" x14ac:dyDescent="0.2">
      <c r="A729" s="87"/>
      <c r="B729" s="26"/>
      <c r="C729" s="52"/>
      <c r="E729" s="49"/>
      <c r="G729" s="49"/>
      <c r="H729" s="49"/>
      <c r="J729" s="51"/>
      <c r="K729" s="87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</row>
    <row r="730" spans="1:53" x14ac:dyDescent="0.2">
      <c r="A730" s="87"/>
      <c r="B730" s="26"/>
      <c r="C730" s="52"/>
      <c r="E730" s="49"/>
      <c r="G730" s="49"/>
      <c r="H730" s="49"/>
      <c r="J730" s="51"/>
      <c r="K730" s="87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</row>
    <row r="731" spans="1:53" x14ac:dyDescent="0.2">
      <c r="A731" s="87"/>
      <c r="B731" s="26"/>
      <c r="C731" s="51"/>
      <c r="E731" s="49"/>
      <c r="G731" s="49"/>
      <c r="H731" s="49"/>
      <c r="J731" s="51"/>
      <c r="K731" s="87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</row>
    <row r="732" spans="1:53" x14ac:dyDescent="0.2">
      <c r="A732" s="87"/>
      <c r="B732" s="26"/>
      <c r="C732" s="51"/>
      <c r="E732" s="49"/>
      <c r="G732" s="49"/>
      <c r="H732" s="49"/>
      <c r="J732" s="51"/>
      <c r="K732" s="87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</row>
    <row r="733" spans="1:53" x14ac:dyDescent="0.2">
      <c r="A733" s="87"/>
      <c r="B733" s="26"/>
      <c r="C733" s="51"/>
      <c r="E733" s="49"/>
      <c r="J733" s="51"/>
      <c r="K733" s="87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</row>
    <row r="734" spans="1:53" x14ac:dyDescent="0.2">
      <c r="A734" s="87"/>
      <c r="B734" s="26"/>
      <c r="C734" s="51"/>
      <c r="E734" s="49"/>
      <c r="J734" s="51"/>
      <c r="K734" s="87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</row>
    <row r="735" spans="1:53" x14ac:dyDescent="0.2">
      <c r="A735" s="87"/>
      <c r="B735" s="26"/>
      <c r="C735" s="51"/>
      <c r="E735" s="49"/>
      <c r="J735" s="51"/>
      <c r="K735" s="87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</row>
    <row r="736" spans="1:53" x14ac:dyDescent="0.2">
      <c r="A736" s="87"/>
      <c r="B736" s="26"/>
      <c r="C736" s="51"/>
      <c r="E736" s="49"/>
      <c r="J736" s="51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9"/>
      <c r="BA736" s="89"/>
    </row>
    <row r="737" spans="1:51" x14ac:dyDescent="0.2">
      <c r="A737" s="87"/>
      <c r="B737" s="26"/>
      <c r="C737" s="51"/>
      <c r="E737" s="49"/>
      <c r="J737" s="51"/>
      <c r="K737" s="87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</row>
    <row r="738" spans="1:51" x14ac:dyDescent="0.2">
      <c r="A738" s="87"/>
      <c r="B738" s="26"/>
      <c r="C738" s="51"/>
      <c r="E738" s="49"/>
      <c r="J738" s="51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</row>
    <row r="739" spans="1:51" x14ac:dyDescent="0.2">
      <c r="A739" s="87"/>
      <c r="B739" s="26"/>
      <c r="C739" s="51"/>
      <c r="E739" s="49"/>
      <c r="J739" s="51"/>
      <c r="K739" s="87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</row>
    <row r="740" spans="1:51" x14ac:dyDescent="0.2">
      <c r="A740" s="87"/>
      <c r="B740" s="26"/>
      <c r="C740" s="51"/>
      <c r="E740" s="49"/>
      <c r="J740" s="51"/>
      <c r="K740" s="87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</row>
    <row r="741" spans="1:51" x14ac:dyDescent="0.2">
      <c r="A741" s="87"/>
      <c r="B741" s="26"/>
      <c r="C741" s="51"/>
      <c r="E741" s="49"/>
      <c r="J741" s="51"/>
      <c r="K741" s="87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</row>
    <row r="742" spans="1:51" x14ac:dyDescent="0.2">
      <c r="A742" s="87"/>
      <c r="B742" s="26"/>
      <c r="C742" s="10"/>
      <c r="E742" s="49"/>
      <c r="J742" s="51"/>
      <c r="K742" s="87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</row>
    <row r="743" spans="1:51" x14ac:dyDescent="0.2">
      <c r="C743" s="51"/>
      <c r="J743" s="51"/>
      <c r="K743" s="87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</row>
    <row r="744" spans="1:51" x14ac:dyDescent="0.2">
      <c r="C744" s="58"/>
      <c r="J744" s="58"/>
      <c r="K744" s="87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</row>
    <row r="745" spans="1:51" x14ac:dyDescent="0.2">
      <c r="C745" s="51"/>
      <c r="E745" s="49"/>
      <c r="F745" s="49"/>
      <c r="G745" s="49"/>
      <c r="H745" s="49"/>
      <c r="J745" s="51"/>
      <c r="K745" s="87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</row>
    <row r="746" spans="1:51" x14ac:dyDescent="0.2">
      <c r="C746" s="51"/>
      <c r="E746" s="49"/>
      <c r="F746" s="49"/>
      <c r="G746" s="49"/>
      <c r="H746" s="49"/>
      <c r="J746" s="51"/>
      <c r="K746" s="87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</row>
    <row r="747" spans="1:51" x14ac:dyDescent="0.2">
      <c r="C747" s="52"/>
      <c r="E747" s="49"/>
      <c r="G747" s="49"/>
      <c r="H747" s="49"/>
      <c r="J747" s="51"/>
      <c r="K747" s="87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</row>
    <row r="748" spans="1:51" x14ac:dyDescent="0.2">
      <c r="C748" s="51"/>
      <c r="J748" s="51"/>
      <c r="K748" s="87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</row>
    <row r="749" spans="1:51" x14ac:dyDescent="0.2">
      <c r="A749" s="25"/>
      <c r="B749" s="25"/>
      <c r="C749" s="51"/>
      <c r="J749" s="51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</row>
    <row r="750" spans="1:51" x14ac:dyDescent="0.2">
      <c r="C750" s="52"/>
      <c r="J750" s="51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</row>
    <row r="751" spans="1:51" x14ac:dyDescent="0.2">
      <c r="C751" s="52"/>
      <c r="D751" s="56"/>
      <c r="E751" s="49"/>
      <c r="J751" s="51"/>
      <c r="K751" s="87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</row>
    <row r="752" spans="1:51" x14ac:dyDescent="0.2">
      <c r="C752" s="52"/>
      <c r="E752" s="49"/>
      <c r="G752" s="49"/>
      <c r="H752" s="49"/>
      <c r="J752" s="51"/>
      <c r="K752" s="87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</row>
    <row r="753" spans="1:51" x14ac:dyDescent="0.2">
      <c r="C753" s="10"/>
      <c r="E753" s="49"/>
      <c r="G753" s="49"/>
      <c r="H753" s="49"/>
      <c r="J753" s="10"/>
      <c r="K753" s="87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</row>
    <row r="754" spans="1:51" x14ac:dyDescent="0.2">
      <c r="C754" s="20"/>
      <c r="E754" s="47"/>
      <c r="G754" s="47"/>
      <c r="H754" s="47"/>
      <c r="J754" s="51"/>
      <c r="K754" s="87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</row>
    <row r="755" spans="1:51" x14ac:dyDescent="0.2">
      <c r="C755" s="51"/>
      <c r="E755" s="49"/>
      <c r="G755" s="49"/>
      <c r="H755" s="49"/>
      <c r="J755" s="51"/>
      <c r="K755" s="87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</row>
    <row r="756" spans="1:51" x14ac:dyDescent="0.2">
      <c r="C756" s="52"/>
      <c r="J756" s="51"/>
      <c r="K756" s="87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</row>
    <row r="757" spans="1:51" x14ac:dyDescent="0.2">
      <c r="C757" s="51"/>
      <c r="J757" s="51"/>
      <c r="K757" s="87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</row>
    <row r="758" spans="1:51" x14ac:dyDescent="0.2">
      <c r="C758" s="51"/>
      <c r="J758" s="51"/>
      <c r="K758" s="87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</row>
    <row r="759" spans="1:51" x14ac:dyDescent="0.2">
      <c r="C759" s="52"/>
      <c r="J759" s="51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</row>
    <row r="760" spans="1:51" x14ac:dyDescent="0.2">
      <c r="C760" s="51"/>
      <c r="E760" s="49"/>
      <c r="G760" s="49"/>
      <c r="H760" s="49"/>
      <c r="J760" s="51"/>
      <c r="K760" s="87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</row>
    <row r="761" spans="1:51" x14ac:dyDescent="0.2">
      <c r="C761" s="51"/>
      <c r="J761" s="51"/>
      <c r="K761" s="87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</row>
    <row r="762" spans="1:51" x14ac:dyDescent="0.2">
      <c r="C762" s="52"/>
      <c r="E762" s="49"/>
      <c r="J762" s="51"/>
      <c r="K762" s="87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</row>
    <row r="763" spans="1:51" x14ac:dyDescent="0.2">
      <c r="C763" s="10"/>
      <c r="J763" s="51"/>
      <c r="K763" s="87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</row>
    <row r="764" spans="1:51" x14ac:dyDescent="0.2">
      <c r="C764" s="52"/>
      <c r="E764" s="49"/>
      <c r="G764" s="49"/>
      <c r="H764" s="49"/>
      <c r="J764" s="51"/>
      <c r="K764" s="87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</row>
    <row r="765" spans="1:51" x14ac:dyDescent="0.2">
      <c r="C765" s="51"/>
      <c r="E765" s="49"/>
      <c r="G765" s="49"/>
      <c r="H765" s="49"/>
      <c r="J765" s="10"/>
      <c r="K765" s="87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</row>
    <row r="766" spans="1:51" x14ac:dyDescent="0.2">
      <c r="C766" s="52"/>
      <c r="E766" s="49"/>
      <c r="G766" s="49"/>
      <c r="H766" s="49"/>
      <c r="J766" s="51"/>
      <c r="K766" s="87"/>
    </row>
    <row r="767" spans="1:51" x14ac:dyDescent="0.2">
      <c r="C767" s="51"/>
      <c r="J767" s="51"/>
      <c r="K767" s="87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</row>
    <row r="768" spans="1:51" x14ac:dyDescent="0.2">
      <c r="A768" s="25"/>
      <c r="B768" s="25"/>
      <c r="C768" s="10"/>
      <c r="E768" s="49"/>
      <c r="J768" s="51"/>
      <c r="K768" s="87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</row>
    <row r="769" spans="1:51" x14ac:dyDescent="0.2">
      <c r="C769" s="52"/>
      <c r="J769" s="51"/>
      <c r="K769" s="87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</row>
    <row r="770" spans="1:51" x14ac:dyDescent="0.2">
      <c r="C770" s="52"/>
      <c r="D770" s="56"/>
      <c r="J770" s="51"/>
      <c r="K770" s="87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</row>
    <row r="771" spans="1:51" x14ac:dyDescent="0.2">
      <c r="E771" s="49"/>
      <c r="G771" s="49"/>
      <c r="H771" s="49"/>
      <c r="J771" s="51"/>
      <c r="K771" s="87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</row>
    <row r="772" spans="1:51" x14ac:dyDescent="0.2">
      <c r="C772" s="51"/>
      <c r="J772" s="51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</row>
    <row r="773" spans="1:51" x14ac:dyDescent="0.2">
      <c r="C773" s="51"/>
      <c r="E773" s="49"/>
      <c r="J773" s="51"/>
      <c r="K773" s="87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</row>
    <row r="774" spans="1:51" x14ac:dyDescent="0.2">
      <c r="C774" s="51"/>
      <c r="J774" s="51"/>
      <c r="K774" s="87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</row>
    <row r="775" spans="1:51" x14ac:dyDescent="0.2">
      <c r="C775" s="52"/>
      <c r="E775" s="49"/>
      <c r="G775" s="49"/>
      <c r="H775" s="49"/>
      <c r="J775" s="51"/>
      <c r="K775" s="87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</row>
    <row r="776" spans="1:51" x14ac:dyDescent="0.2">
      <c r="C776" s="51"/>
      <c r="E776" s="49"/>
      <c r="G776" s="49"/>
      <c r="H776" s="49"/>
      <c r="J776" s="51"/>
      <c r="K776" s="87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</row>
    <row r="777" spans="1:51" x14ac:dyDescent="0.2">
      <c r="C777" s="52"/>
      <c r="E777" s="49"/>
      <c r="G777" s="49"/>
      <c r="H777" s="49"/>
      <c r="J777" s="51"/>
      <c r="K777" s="87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</row>
    <row r="778" spans="1:51" x14ac:dyDescent="0.2">
      <c r="C778" s="51"/>
      <c r="E778" s="49"/>
      <c r="G778" s="49"/>
      <c r="H778" s="49"/>
      <c r="J778" s="51"/>
      <c r="K778" s="87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</row>
    <row r="779" spans="1:51" x14ac:dyDescent="0.2">
      <c r="C779" s="51"/>
      <c r="E779" s="49"/>
      <c r="G779" s="49"/>
      <c r="H779" s="49"/>
      <c r="J779" s="51"/>
      <c r="K779" s="87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</row>
    <row r="780" spans="1:51" x14ac:dyDescent="0.2">
      <c r="A780" s="25"/>
      <c r="B780" s="25"/>
      <c r="C780" s="52"/>
      <c r="E780" s="49"/>
      <c r="F780" s="49"/>
      <c r="G780" s="49"/>
      <c r="H780" s="49"/>
      <c r="J780" s="51"/>
      <c r="K780" s="87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</row>
    <row r="781" spans="1:51" x14ac:dyDescent="0.2">
      <c r="C781" s="52"/>
      <c r="J781" s="23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</row>
    <row r="782" spans="1:51" x14ac:dyDescent="0.2">
      <c r="C782" s="51"/>
      <c r="E782" s="49"/>
      <c r="G782" s="49"/>
      <c r="H782" s="49"/>
      <c r="J782" s="51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</row>
    <row r="783" spans="1:51" x14ac:dyDescent="0.2">
      <c r="J783" s="51"/>
      <c r="K783" s="87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</row>
    <row r="784" spans="1:51" x14ac:dyDescent="0.2">
      <c r="C784" s="38"/>
      <c r="D784" s="72"/>
      <c r="E784" s="49"/>
      <c r="G784" s="49"/>
      <c r="H784" s="49"/>
      <c r="J784" s="51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</row>
    <row r="785" spans="3:51" x14ac:dyDescent="0.2">
      <c r="C785" s="52"/>
      <c r="J785" s="51"/>
      <c r="K785" s="87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</row>
    <row r="786" spans="3:51" x14ac:dyDescent="0.2">
      <c r="C786" s="51"/>
      <c r="E786" s="49"/>
      <c r="F786" s="49"/>
      <c r="G786" s="49"/>
      <c r="H786" s="49"/>
      <c r="J786" s="51"/>
      <c r="K786" s="87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</row>
    <row r="787" spans="3:51" x14ac:dyDescent="0.2">
      <c r="C787" s="51"/>
      <c r="E787" s="49"/>
      <c r="G787" s="49"/>
      <c r="H787" s="49"/>
      <c r="J787" s="51"/>
      <c r="K787" s="87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</row>
    <row r="788" spans="3:51" x14ac:dyDescent="0.2">
      <c r="C788" s="52"/>
      <c r="E788" s="49"/>
      <c r="G788" s="49"/>
      <c r="H788" s="49"/>
      <c r="J788" s="51"/>
      <c r="K788" s="87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</row>
    <row r="789" spans="3:51" x14ac:dyDescent="0.2">
      <c r="C789" s="52"/>
      <c r="E789" s="49"/>
      <c r="G789" s="49"/>
      <c r="H789" s="49"/>
      <c r="J789" s="51"/>
      <c r="K789" s="87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</row>
    <row r="790" spans="3:51" x14ac:dyDescent="0.2">
      <c r="C790" s="52"/>
      <c r="J790" s="51"/>
      <c r="K790" s="87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</row>
    <row r="791" spans="3:51" x14ac:dyDescent="0.2">
      <c r="C791" s="38"/>
      <c r="E791" s="49"/>
      <c r="G791" s="49"/>
      <c r="H791" s="49"/>
      <c r="J791" s="51"/>
      <c r="K791" s="87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</row>
    <row r="792" spans="3:51" x14ac:dyDescent="0.2">
      <c r="C792" s="52"/>
      <c r="E792" s="49"/>
      <c r="G792" s="49"/>
      <c r="H792" s="49"/>
      <c r="J792" s="51"/>
      <c r="K792" s="87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</row>
    <row r="793" spans="3:51" x14ac:dyDescent="0.2">
      <c r="C793" s="51"/>
      <c r="E793" s="49"/>
      <c r="G793" s="49"/>
      <c r="H793" s="49"/>
      <c r="J793" s="51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</row>
    <row r="794" spans="3:51" x14ac:dyDescent="0.2">
      <c r="C794" s="51"/>
      <c r="E794" s="49"/>
      <c r="G794" s="49"/>
      <c r="H794" s="49"/>
      <c r="J794" s="51"/>
      <c r="K794" s="87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</row>
    <row r="795" spans="3:51" x14ac:dyDescent="0.2">
      <c r="C795" s="51"/>
      <c r="J795" s="51"/>
      <c r="K795" s="87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</row>
    <row r="796" spans="3:51" x14ac:dyDescent="0.2">
      <c r="C796" s="52"/>
      <c r="E796" s="49"/>
      <c r="G796" s="49"/>
      <c r="H796" s="49"/>
      <c r="J796" s="51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</row>
    <row r="797" spans="3:51" x14ac:dyDescent="0.2">
      <c r="C797" s="51"/>
      <c r="G797" s="79"/>
      <c r="H797" s="79"/>
      <c r="J797" s="51"/>
      <c r="K797" s="87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</row>
    <row r="798" spans="3:51" x14ac:dyDescent="0.2">
      <c r="C798" s="23"/>
      <c r="D798" s="57"/>
      <c r="E798" s="49"/>
      <c r="F798" s="49"/>
      <c r="G798" s="49"/>
      <c r="H798" s="49"/>
      <c r="I798" s="49"/>
      <c r="J798" s="23"/>
      <c r="K798" s="87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</row>
    <row r="799" spans="3:51" x14ac:dyDescent="0.2">
      <c r="C799" s="52"/>
      <c r="E799" s="49"/>
      <c r="F799" s="49"/>
      <c r="G799" s="49"/>
      <c r="H799" s="49"/>
      <c r="J799" s="51"/>
      <c r="K799" s="87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</row>
    <row r="800" spans="3:51" x14ac:dyDescent="0.2">
      <c r="C800" s="51"/>
      <c r="E800" s="49"/>
      <c r="G800" s="49"/>
      <c r="H800" s="49"/>
      <c r="J800" s="51"/>
      <c r="K800" s="87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</row>
    <row r="801" spans="1:53" x14ac:dyDescent="0.2">
      <c r="C801" s="10"/>
      <c r="E801" s="49"/>
      <c r="J801" s="51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9"/>
      <c r="BA801" s="89"/>
    </row>
    <row r="802" spans="1:53" x14ac:dyDescent="0.2">
      <c r="C802" s="52"/>
      <c r="J802" s="51"/>
      <c r="K802" s="87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B802" s="86"/>
      <c r="AC802" s="86"/>
      <c r="AD802" s="86"/>
      <c r="AE802" s="86"/>
      <c r="AF802" s="86"/>
      <c r="AG802" s="86"/>
      <c r="AH802" s="86"/>
      <c r="AI802" s="86"/>
      <c r="AJ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9"/>
      <c r="BA802" s="89"/>
    </row>
    <row r="803" spans="1:53" x14ac:dyDescent="0.2">
      <c r="C803" s="52"/>
      <c r="E803" s="49"/>
      <c r="F803" s="49"/>
      <c r="G803" s="49"/>
      <c r="H803" s="49"/>
      <c r="J803" s="51"/>
      <c r="K803" s="87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B803" s="86"/>
      <c r="AC803" s="86"/>
      <c r="AD803" s="86"/>
      <c r="AE803" s="86"/>
      <c r="AF803" s="86"/>
      <c r="AG803" s="86"/>
      <c r="AH803" s="86"/>
      <c r="AI803" s="86"/>
      <c r="AJ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</row>
    <row r="804" spans="1:53" x14ac:dyDescent="0.2">
      <c r="A804" s="25"/>
      <c r="B804" s="25"/>
      <c r="C804" s="52"/>
      <c r="E804" s="49"/>
      <c r="G804" s="49"/>
      <c r="H804" s="49"/>
      <c r="J804" s="51"/>
      <c r="K804" s="87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</row>
    <row r="805" spans="1:53" x14ac:dyDescent="0.2">
      <c r="C805" s="52"/>
      <c r="E805" s="49"/>
      <c r="G805" s="49"/>
      <c r="H805" s="49"/>
      <c r="J805" s="51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</row>
    <row r="806" spans="1:53" x14ac:dyDescent="0.2">
      <c r="C806" s="38"/>
      <c r="E806" s="49"/>
      <c r="G806" s="49"/>
      <c r="H806" s="49"/>
      <c r="J806" s="51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</row>
    <row r="807" spans="1:53" x14ac:dyDescent="0.2">
      <c r="C807" s="51"/>
      <c r="J807" s="51"/>
      <c r="K807" s="87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</row>
    <row r="808" spans="1:53" x14ac:dyDescent="0.2">
      <c r="C808" s="52"/>
      <c r="E808" s="49"/>
      <c r="G808" s="49"/>
      <c r="H808" s="49"/>
      <c r="J808" s="51"/>
      <c r="K808" s="87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</row>
    <row r="809" spans="1:53" x14ac:dyDescent="0.2">
      <c r="C809" s="10"/>
      <c r="E809" s="49"/>
      <c r="G809" s="49"/>
      <c r="H809" s="49"/>
      <c r="J809" s="10"/>
      <c r="K809" s="87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</row>
    <row r="810" spans="1:53" x14ac:dyDescent="0.2">
      <c r="C810" s="52"/>
      <c r="E810" s="49"/>
      <c r="G810" s="49"/>
      <c r="H810" s="49"/>
      <c r="J810" s="51"/>
      <c r="K810" s="87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</row>
    <row r="811" spans="1:53" x14ac:dyDescent="0.2">
      <c r="C811" s="51"/>
      <c r="E811" s="49"/>
      <c r="G811" s="49"/>
      <c r="H811" s="49"/>
      <c r="J811" s="51"/>
      <c r="K811" s="87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</row>
    <row r="812" spans="1:53" x14ac:dyDescent="0.2">
      <c r="C812" s="52"/>
      <c r="J812" s="51"/>
      <c r="K812" s="87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</row>
    <row r="813" spans="1:53" x14ac:dyDescent="0.2">
      <c r="C813" s="51"/>
      <c r="J813" s="51"/>
      <c r="K813" s="87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</row>
    <row r="814" spans="1:53" x14ac:dyDescent="0.2">
      <c r="A814" s="25"/>
      <c r="B814" s="25"/>
      <c r="C814" s="51"/>
      <c r="J814" s="51"/>
      <c r="K814" s="87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</row>
    <row r="815" spans="1:53" x14ac:dyDescent="0.2">
      <c r="A815" s="25"/>
      <c r="B815" s="25"/>
      <c r="C815" s="51"/>
      <c r="E815" s="49"/>
      <c r="G815" s="49"/>
      <c r="H815" s="49"/>
      <c r="J815" s="51"/>
      <c r="K815" s="87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B815" s="86"/>
      <c r="AC815" s="86"/>
      <c r="AD815" s="86"/>
      <c r="AE815" s="86"/>
      <c r="AF815" s="86"/>
      <c r="AG815" s="86"/>
      <c r="AH815" s="86"/>
      <c r="AI815" s="86"/>
      <c r="AJ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</row>
    <row r="816" spans="1:53" x14ac:dyDescent="0.2">
      <c r="C816" s="51"/>
      <c r="J816" s="51"/>
      <c r="K816" s="87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</row>
    <row r="817" spans="3:51" x14ac:dyDescent="0.2">
      <c r="C817" s="51"/>
      <c r="E817" s="49"/>
      <c r="G817" s="49"/>
      <c r="H817" s="49"/>
      <c r="J817" s="51"/>
      <c r="K817" s="87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</row>
    <row r="818" spans="3:51" x14ac:dyDescent="0.2">
      <c r="C818" s="52"/>
      <c r="J818" s="51"/>
      <c r="K818" s="87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</row>
    <row r="819" spans="3:51" x14ac:dyDescent="0.2">
      <c r="C819" s="51"/>
      <c r="J819" s="51"/>
      <c r="K819" s="87"/>
    </row>
    <row r="820" spans="3:51" x14ac:dyDescent="0.2">
      <c r="C820" s="52"/>
      <c r="E820" s="49"/>
      <c r="J820" s="51"/>
      <c r="K820" s="87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</row>
    <row r="821" spans="3:51" x14ac:dyDescent="0.2">
      <c r="C821" s="52"/>
      <c r="E821" s="49"/>
      <c r="G821" s="49"/>
      <c r="H821" s="49"/>
      <c r="J821" s="51"/>
      <c r="K821" s="87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</row>
    <row r="822" spans="3:51" x14ac:dyDescent="0.2">
      <c r="C822" s="52"/>
      <c r="E822" s="49"/>
      <c r="G822" s="49"/>
      <c r="H822" s="49"/>
      <c r="J822" s="51"/>
      <c r="K822" s="87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</row>
    <row r="823" spans="3:51" x14ac:dyDescent="0.2">
      <c r="C823" s="51"/>
      <c r="E823" s="49"/>
      <c r="G823" s="49"/>
      <c r="H823" s="49"/>
      <c r="J823" s="10"/>
      <c r="K823" s="87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</row>
    <row r="824" spans="3:51" x14ac:dyDescent="0.2">
      <c r="C824" s="52"/>
      <c r="E824" s="49"/>
      <c r="G824" s="49"/>
      <c r="H824" s="49"/>
      <c r="J824" s="51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</row>
    <row r="825" spans="3:51" x14ac:dyDescent="0.2">
      <c r="C825" s="52"/>
      <c r="J825" s="51"/>
      <c r="K825" s="87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</row>
    <row r="826" spans="3:51" x14ac:dyDescent="0.2">
      <c r="C826" s="10"/>
      <c r="E826" s="49"/>
      <c r="J826" s="51"/>
      <c r="K826" s="87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</row>
    <row r="827" spans="3:51" x14ac:dyDescent="0.2">
      <c r="C827" s="52"/>
      <c r="D827" s="56"/>
      <c r="J827" s="51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</row>
    <row r="828" spans="3:51" x14ac:dyDescent="0.2">
      <c r="C828" s="52"/>
      <c r="J828" s="51"/>
      <c r="K828" s="87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</row>
    <row r="829" spans="3:51" x14ac:dyDescent="0.2">
      <c r="C829" s="52"/>
      <c r="J829" s="51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</row>
    <row r="830" spans="3:51" x14ac:dyDescent="0.2">
      <c r="C830" s="51"/>
      <c r="J830" s="51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</row>
    <row r="831" spans="3:51" x14ac:dyDescent="0.2">
      <c r="C831" s="52"/>
      <c r="J831" s="51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</row>
    <row r="832" spans="3:51" x14ac:dyDescent="0.2">
      <c r="C832" s="52"/>
      <c r="J832" s="26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</row>
    <row r="833" spans="1:53" x14ac:dyDescent="0.2">
      <c r="C833" s="52"/>
      <c r="J833" s="51"/>
      <c r="K833" s="87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</row>
    <row r="834" spans="1:53" x14ac:dyDescent="0.2">
      <c r="C834" s="52"/>
      <c r="J834" s="51"/>
      <c r="K834" s="87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</row>
    <row r="835" spans="1:53" x14ac:dyDescent="0.2">
      <c r="C835" s="51"/>
      <c r="J835" s="51"/>
      <c r="K835" s="87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</row>
    <row r="836" spans="1:53" x14ac:dyDescent="0.2">
      <c r="C836" s="52"/>
      <c r="J836" s="51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</row>
    <row r="837" spans="1:53" x14ac:dyDescent="0.2">
      <c r="A837" s="25"/>
      <c r="B837" s="25"/>
      <c r="C837" s="52"/>
      <c r="E837" s="49"/>
      <c r="F837" s="49"/>
      <c r="G837" s="49"/>
      <c r="H837" s="49"/>
      <c r="J837" s="51"/>
      <c r="K837" s="87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</row>
    <row r="838" spans="1:53" x14ac:dyDescent="0.2">
      <c r="C838" s="52"/>
      <c r="J838" s="23"/>
      <c r="K838" s="87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</row>
    <row r="839" spans="1:53" x14ac:dyDescent="0.2">
      <c r="A839" s="87"/>
      <c r="B839" s="26"/>
      <c r="C839" s="51"/>
      <c r="E839" s="49"/>
      <c r="G839" s="49"/>
      <c r="H839" s="49"/>
      <c r="J839" s="51"/>
      <c r="K839" s="87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</row>
    <row r="840" spans="1:53" x14ac:dyDescent="0.2">
      <c r="A840" s="87"/>
      <c r="B840" s="26"/>
      <c r="C840" s="52"/>
      <c r="E840" s="49"/>
      <c r="J840" s="51"/>
      <c r="K840" s="87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</row>
    <row r="841" spans="1:53" x14ac:dyDescent="0.2">
      <c r="A841" s="87"/>
      <c r="B841" s="26"/>
      <c r="J841" s="51"/>
      <c r="K841" s="87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</row>
    <row r="842" spans="1:53" x14ac:dyDescent="0.2">
      <c r="A842" s="87"/>
      <c r="B842" s="26"/>
      <c r="C842" s="51"/>
      <c r="E842" s="49"/>
      <c r="G842" s="49"/>
      <c r="H842" s="49"/>
      <c r="J842" s="51"/>
      <c r="K842" s="87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</row>
    <row r="843" spans="1:53" x14ac:dyDescent="0.2">
      <c r="A843" s="87"/>
      <c r="B843" s="26"/>
      <c r="C843" s="52"/>
      <c r="E843" s="49"/>
      <c r="J843" s="51"/>
      <c r="K843" s="87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</row>
    <row r="844" spans="1:53" x14ac:dyDescent="0.2">
      <c r="A844" s="87"/>
      <c r="B844" s="26"/>
      <c r="C844" s="51"/>
      <c r="J844" s="51"/>
      <c r="K844" s="87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</row>
    <row r="845" spans="1:53" x14ac:dyDescent="0.2">
      <c r="A845" s="87"/>
      <c r="B845" s="26"/>
      <c r="C845" s="52"/>
      <c r="E845" s="49"/>
      <c r="G845" s="49"/>
      <c r="H845" s="49"/>
      <c r="J845" s="51"/>
      <c r="K845" s="87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</row>
    <row r="846" spans="1:53" x14ac:dyDescent="0.2">
      <c r="A846" s="87"/>
      <c r="B846" s="26"/>
      <c r="C846" s="51"/>
      <c r="E846" s="49"/>
      <c r="G846" s="49"/>
      <c r="H846" s="49"/>
      <c r="J846" s="42"/>
      <c r="K846" s="87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</row>
    <row r="847" spans="1:53" x14ac:dyDescent="0.2">
      <c r="A847" s="87"/>
      <c r="B847" s="26"/>
      <c r="C847" s="52"/>
      <c r="E847" s="47"/>
      <c r="G847" s="49"/>
      <c r="H847" s="49"/>
      <c r="J847" s="51"/>
      <c r="K847" s="87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</row>
    <row r="848" spans="1:53" x14ac:dyDescent="0.2">
      <c r="A848" s="87"/>
      <c r="B848" s="26"/>
      <c r="C848" s="51"/>
      <c r="E848" s="49"/>
      <c r="G848" s="49"/>
      <c r="H848" s="49"/>
      <c r="J848" s="51"/>
      <c r="K848" s="87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</row>
    <row r="849" spans="1:51" x14ac:dyDescent="0.2">
      <c r="A849" s="87"/>
      <c r="B849" s="26"/>
      <c r="C849" s="52"/>
      <c r="E849" s="49"/>
      <c r="G849" s="49"/>
      <c r="H849" s="49"/>
      <c r="J849" s="51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</row>
    <row r="850" spans="1:51" x14ac:dyDescent="0.2">
      <c r="A850" s="87"/>
      <c r="B850" s="26"/>
      <c r="C850" s="52"/>
      <c r="E850" s="49"/>
      <c r="G850" s="49"/>
      <c r="H850" s="49"/>
      <c r="J850" s="51"/>
      <c r="K850" s="87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</row>
    <row r="851" spans="1:51" x14ac:dyDescent="0.2">
      <c r="A851" s="87"/>
      <c r="B851" s="26"/>
      <c r="C851" s="51"/>
      <c r="E851" s="49"/>
      <c r="G851" s="49"/>
      <c r="H851" s="49"/>
      <c r="J851" s="51"/>
      <c r="K851" s="87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</row>
    <row r="852" spans="1:51" x14ac:dyDescent="0.2">
      <c r="A852" s="87"/>
      <c r="B852" s="26"/>
      <c r="C852" s="51"/>
      <c r="E852" s="49"/>
      <c r="F852" s="49"/>
      <c r="G852" s="49"/>
      <c r="H852" s="49"/>
      <c r="J852" s="51"/>
      <c r="K852" s="87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</row>
    <row r="853" spans="1:51" x14ac:dyDescent="0.2">
      <c r="A853" s="87"/>
      <c r="B853" s="26"/>
      <c r="C853" s="52"/>
      <c r="D853" s="56"/>
      <c r="E853" s="49"/>
      <c r="J853" s="51"/>
      <c r="K853" s="87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</row>
    <row r="854" spans="1:51" x14ac:dyDescent="0.2">
      <c r="A854" s="87"/>
      <c r="B854" s="26"/>
      <c r="C854" s="52"/>
      <c r="E854" s="49"/>
      <c r="F854" s="49"/>
      <c r="G854" s="49"/>
      <c r="H854" s="49"/>
      <c r="J854" s="51"/>
      <c r="K854" s="87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</row>
    <row r="855" spans="1:51" x14ac:dyDescent="0.2">
      <c r="A855" s="87"/>
      <c r="B855" s="26"/>
      <c r="C855" s="52"/>
      <c r="E855" s="49"/>
      <c r="G855" s="49"/>
      <c r="H855" s="49"/>
      <c r="J855" s="51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</row>
    <row r="856" spans="1:51" x14ac:dyDescent="0.2">
      <c r="A856" s="87"/>
      <c r="B856" s="26"/>
      <c r="C856" s="52"/>
      <c r="J856" s="51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</row>
    <row r="857" spans="1:51" x14ac:dyDescent="0.2">
      <c r="A857" s="87"/>
      <c r="B857" s="26"/>
      <c r="C857" s="52"/>
      <c r="E857" s="49"/>
      <c r="G857" s="49"/>
      <c r="H857" s="49"/>
      <c r="J857" s="51"/>
      <c r="K857" s="87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</row>
    <row r="858" spans="1:51" x14ac:dyDescent="0.2">
      <c r="A858" s="87"/>
      <c r="B858" s="26"/>
      <c r="C858" s="51"/>
      <c r="E858" s="49"/>
      <c r="F858" s="49"/>
      <c r="G858" s="49"/>
      <c r="H858" s="49"/>
      <c r="J858" s="51"/>
      <c r="K858" s="87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</row>
    <row r="859" spans="1:51" x14ac:dyDescent="0.2">
      <c r="A859" s="87"/>
      <c r="B859" s="26"/>
      <c r="C859" s="52"/>
      <c r="J859" s="51"/>
      <c r="K859" s="87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</row>
    <row r="860" spans="1:51" x14ac:dyDescent="0.2">
      <c r="A860" s="87"/>
      <c r="B860" s="26"/>
      <c r="C860" s="52"/>
      <c r="E860" s="49"/>
      <c r="G860" s="49"/>
      <c r="H860" s="49"/>
      <c r="J860" s="51"/>
      <c r="K860" s="87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</row>
    <row r="861" spans="1:51" x14ac:dyDescent="0.2">
      <c r="A861" s="87"/>
      <c r="B861" s="26"/>
      <c r="C861" s="51"/>
      <c r="E861" s="49"/>
      <c r="G861" s="49"/>
      <c r="H861" s="49"/>
      <c r="J861" s="51"/>
      <c r="K861" s="87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</row>
    <row r="862" spans="1:51" x14ac:dyDescent="0.2">
      <c r="A862" s="87"/>
      <c r="B862" s="26"/>
      <c r="C862" s="52"/>
      <c r="E862" s="49"/>
      <c r="G862" s="49"/>
      <c r="H862" s="49"/>
      <c r="J862" s="51"/>
      <c r="K862" s="87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</row>
    <row r="863" spans="1:51" x14ac:dyDescent="0.2">
      <c r="A863" s="87"/>
      <c r="B863" s="26"/>
      <c r="C863" s="51"/>
      <c r="E863" s="49"/>
      <c r="G863" s="49"/>
      <c r="H863" s="49"/>
      <c r="J863" s="51"/>
      <c r="K863" s="87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</row>
    <row r="864" spans="1:51" x14ac:dyDescent="0.2">
      <c r="A864" s="87"/>
      <c r="B864" s="26"/>
      <c r="C864" s="52"/>
      <c r="E864" s="49"/>
      <c r="G864" s="49"/>
      <c r="H864" s="49"/>
      <c r="J864" s="51"/>
      <c r="K864" s="87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</row>
    <row r="865" spans="1:51" x14ac:dyDescent="0.2">
      <c r="A865" s="87"/>
      <c r="B865" s="26"/>
      <c r="C865" s="51"/>
      <c r="G865" s="79"/>
      <c r="H865" s="79"/>
      <c r="J865" s="51"/>
      <c r="K865" s="87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</row>
    <row r="866" spans="1:51" x14ac:dyDescent="0.2">
      <c r="A866" s="87"/>
      <c r="B866" s="26"/>
      <c r="C866" s="52"/>
      <c r="E866" s="49"/>
      <c r="G866" s="49"/>
      <c r="H866" s="49"/>
      <c r="J866" s="51"/>
      <c r="K866" s="87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</row>
    <row r="867" spans="1:51" x14ac:dyDescent="0.2">
      <c r="A867" s="87"/>
      <c r="B867" s="26"/>
      <c r="C867" s="51"/>
      <c r="J867" s="51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</row>
    <row r="868" spans="1:51" x14ac:dyDescent="0.2">
      <c r="A868" s="87"/>
      <c r="B868" s="26"/>
      <c r="C868" s="51"/>
      <c r="J868" s="51"/>
      <c r="K868" s="87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</row>
    <row r="869" spans="1:51" x14ac:dyDescent="0.2">
      <c r="A869" s="87"/>
      <c r="B869" s="26"/>
      <c r="C869" s="52"/>
      <c r="D869" s="56"/>
      <c r="E869" s="49"/>
      <c r="G869" s="49"/>
      <c r="H869" s="49"/>
      <c r="J869" s="51"/>
      <c r="K869" s="87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</row>
    <row r="870" spans="1:51" x14ac:dyDescent="0.2">
      <c r="A870" s="87"/>
      <c r="B870" s="26"/>
      <c r="C870" s="51"/>
      <c r="E870" s="49"/>
      <c r="G870" s="49"/>
      <c r="H870" s="49"/>
      <c r="J870" s="51"/>
      <c r="K870" s="87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</row>
    <row r="871" spans="1:51" x14ac:dyDescent="0.2">
      <c r="A871" s="87"/>
      <c r="B871" s="26"/>
      <c r="C871" s="10"/>
      <c r="E871" s="49"/>
      <c r="J871" s="51"/>
      <c r="K871" s="87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</row>
    <row r="872" spans="1:51" x14ac:dyDescent="0.2">
      <c r="A872" s="87"/>
      <c r="B872" s="26"/>
      <c r="C872" s="51"/>
      <c r="E872" s="49"/>
      <c r="G872" s="49"/>
      <c r="H872" s="49"/>
      <c r="J872" s="51"/>
      <c r="K872" s="87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</row>
    <row r="873" spans="1:51" x14ac:dyDescent="0.2">
      <c r="A873" s="87"/>
      <c r="B873" s="26"/>
      <c r="C873" s="38"/>
      <c r="E873" s="49"/>
      <c r="G873" s="49"/>
      <c r="H873" s="49"/>
      <c r="J873" s="51"/>
      <c r="K873" s="87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</row>
    <row r="874" spans="1:51" x14ac:dyDescent="0.2">
      <c r="A874" s="87"/>
      <c r="B874" s="26"/>
      <c r="C874" s="52"/>
      <c r="E874" s="49"/>
      <c r="J874" s="51"/>
      <c r="K874" s="87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</row>
    <row r="875" spans="1:51" x14ac:dyDescent="0.2">
      <c r="A875" s="87"/>
      <c r="B875" s="26"/>
      <c r="C875" s="52"/>
      <c r="E875" s="49"/>
      <c r="G875" s="49"/>
      <c r="H875" s="49"/>
      <c r="J875" s="51"/>
      <c r="K875" s="87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B875" s="86"/>
      <c r="AC875" s="86"/>
      <c r="AD875" s="86"/>
      <c r="AE875" s="86"/>
      <c r="AF875" s="86"/>
      <c r="AG875" s="86"/>
      <c r="AH875" s="86"/>
      <c r="AI875" s="86"/>
      <c r="AJ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</row>
    <row r="876" spans="1:51" x14ac:dyDescent="0.2">
      <c r="A876" s="87"/>
      <c r="B876" s="26"/>
      <c r="C876" s="10"/>
      <c r="E876" s="49"/>
      <c r="J876" s="51"/>
      <c r="K876" s="87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B876" s="86"/>
      <c r="AC876" s="86"/>
      <c r="AD876" s="86"/>
      <c r="AE876" s="86"/>
      <c r="AF876" s="86"/>
      <c r="AG876" s="86"/>
      <c r="AH876" s="86"/>
      <c r="AI876" s="86"/>
      <c r="AJ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</row>
    <row r="877" spans="1:51" x14ac:dyDescent="0.2">
      <c r="A877" s="87"/>
      <c r="B877" s="26"/>
      <c r="C877" s="52"/>
      <c r="J877" s="51"/>
      <c r="K877" s="87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</row>
    <row r="878" spans="1:51" x14ac:dyDescent="0.2">
      <c r="A878" s="87"/>
      <c r="B878" s="26"/>
      <c r="C878" s="52"/>
      <c r="J878" s="51"/>
      <c r="K878" s="87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</row>
    <row r="879" spans="1:51" x14ac:dyDescent="0.2">
      <c r="A879" s="87"/>
      <c r="B879" s="26"/>
      <c r="C879" s="51"/>
      <c r="J879" s="51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</row>
    <row r="880" spans="1:51" x14ac:dyDescent="0.2">
      <c r="A880" s="87"/>
      <c r="B880" s="26"/>
      <c r="C880" s="52"/>
      <c r="E880" s="49"/>
      <c r="G880" s="49"/>
      <c r="H880" s="49"/>
      <c r="J880" s="51"/>
      <c r="K880" s="87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</row>
    <row r="881" spans="1:51" x14ac:dyDescent="0.2">
      <c r="A881" s="87"/>
      <c r="B881" s="26"/>
      <c r="C881" s="51"/>
      <c r="E881" s="49"/>
      <c r="G881" s="49"/>
      <c r="H881" s="49"/>
      <c r="J881" s="51"/>
      <c r="K881" s="87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</row>
    <row r="882" spans="1:51" x14ac:dyDescent="0.2">
      <c r="A882" s="87"/>
      <c r="B882" s="26"/>
      <c r="C882" s="10"/>
      <c r="E882" s="49"/>
      <c r="G882" s="49"/>
      <c r="H882" s="49"/>
      <c r="J882" s="10"/>
      <c r="K882" s="87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</row>
    <row r="883" spans="1:51" x14ac:dyDescent="0.2">
      <c r="A883" s="87"/>
      <c r="B883" s="26"/>
      <c r="C883" s="52"/>
      <c r="E883" s="49"/>
      <c r="G883" s="49"/>
      <c r="H883" s="49"/>
      <c r="J883" s="51"/>
      <c r="K883" s="87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</row>
    <row r="884" spans="1:51" x14ac:dyDescent="0.2">
      <c r="A884" s="87"/>
      <c r="B884" s="26"/>
      <c r="C884" s="52"/>
      <c r="J884" s="51"/>
      <c r="K884" s="87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</row>
    <row r="885" spans="1:51" x14ac:dyDescent="0.2">
      <c r="A885" s="87"/>
      <c r="B885" s="26"/>
      <c r="C885" s="51"/>
      <c r="J885" s="51"/>
      <c r="K885" s="87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</row>
    <row r="886" spans="1:51" x14ac:dyDescent="0.2">
      <c r="A886" s="87"/>
      <c r="B886" s="26"/>
      <c r="C886" s="51"/>
      <c r="J886" s="51"/>
      <c r="K886" s="87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</row>
    <row r="887" spans="1:51" x14ac:dyDescent="0.2">
      <c r="A887" s="25"/>
      <c r="B887" s="25"/>
      <c r="C887" s="52"/>
      <c r="J887" s="51"/>
      <c r="K887" s="87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</row>
    <row r="888" spans="1:51" x14ac:dyDescent="0.2">
      <c r="A888" s="25"/>
      <c r="B888" s="25"/>
      <c r="C888" s="52"/>
      <c r="E888" s="49"/>
      <c r="G888" s="49"/>
      <c r="H888" s="49"/>
      <c r="J888" s="51"/>
      <c r="K888" s="87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</row>
    <row r="889" spans="1:51" x14ac:dyDescent="0.2">
      <c r="C889" s="52"/>
      <c r="J889" s="51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</row>
    <row r="890" spans="1:51" x14ac:dyDescent="0.2">
      <c r="C890" s="51"/>
      <c r="J890" s="51"/>
      <c r="K890" s="87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</row>
    <row r="891" spans="1:51" x14ac:dyDescent="0.2">
      <c r="C891" s="52"/>
      <c r="J891" s="51"/>
      <c r="K891" s="87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</row>
    <row r="892" spans="1:51" x14ac:dyDescent="0.2">
      <c r="C892" s="52"/>
      <c r="E892" s="49"/>
      <c r="G892" s="49"/>
      <c r="H892" s="49"/>
      <c r="J892" s="51"/>
      <c r="K892" s="87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</row>
    <row r="893" spans="1:51" x14ac:dyDescent="0.2">
      <c r="C893" s="10"/>
      <c r="E893" s="49"/>
      <c r="G893" s="49"/>
      <c r="H893" s="49"/>
      <c r="J893" s="10"/>
      <c r="K893" s="87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</row>
    <row r="894" spans="1:51" x14ac:dyDescent="0.2">
      <c r="C894" s="10"/>
      <c r="J894" s="51"/>
      <c r="K894" s="87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</row>
    <row r="895" spans="1:51" x14ac:dyDescent="0.2">
      <c r="C895" s="51"/>
      <c r="J895" s="51"/>
      <c r="K895" s="87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</row>
    <row r="896" spans="1:51" x14ac:dyDescent="0.2">
      <c r="C896" s="52"/>
      <c r="J896" s="51"/>
      <c r="K896" s="87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</row>
    <row r="897" spans="1:53" x14ac:dyDescent="0.2">
      <c r="C897" s="52"/>
      <c r="J897" s="51"/>
      <c r="K897" s="87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</row>
    <row r="898" spans="1:53" x14ac:dyDescent="0.2">
      <c r="C898" s="51"/>
      <c r="J898" s="10"/>
      <c r="K898" s="87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</row>
    <row r="899" spans="1:53" x14ac:dyDescent="0.2">
      <c r="C899" s="20"/>
      <c r="E899" s="47"/>
      <c r="G899" s="47"/>
      <c r="H899" s="47"/>
      <c r="J899" s="10"/>
      <c r="K899" s="87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</row>
    <row r="900" spans="1:53" x14ac:dyDescent="0.2">
      <c r="C900" s="51"/>
      <c r="E900" s="49"/>
      <c r="G900" s="49"/>
      <c r="H900" s="49"/>
      <c r="J900" s="51"/>
      <c r="K900" s="87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</row>
    <row r="901" spans="1:53" x14ac:dyDescent="0.2">
      <c r="C901" s="52"/>
      <c r="E901" s="49"/>
      <c r="G901" s="49"/>
      <c r="H901" s="49"/>
      <c r="J901" s="51"/>
      <c r="K901" s="87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</row>
    <row r="902" spans="1:53" x14ac:dyDescent="0.2">
      <c r="C902" s="51"/>
      <c r="J902" s="51"/>
      <c r="K902" s="87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</row>
    <row r="903" spans="1:53" x14ac:dyDescent="0.2">
      <c r="A903" s="87"/>
      <c r="B903" s="26"/>
      <c r="C903" s="52"/>
      <c r="E903" s="49"/>
      <c r="F903" s="49"/>
      <c r="G903" s="49"/>
      <c r="H903" s="49"/>
      <c r="J903" s="51"/>
      <c r="K903" s="87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</row>
    <row r="904" spans="1:53" x14ac:dyDescent="0.2">
      <c r="A904" s="87"/>
      <c r="B904" s="26"/>
      <c r="C904" s="52"/>
      <c r="J904" s="51"/>
      <c r="K904" s="87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</row>
    <row r="905" spans="1:53" x14ac:dyDescent="0.2">
      <c r="A905" s="87"/>
      <c r="B905" s="26"/>
      <c r="C905" s="59"/>
      <c r="E905" s="49"/>
      <c r="J905" s="51"/>
      <c r="K905" s="87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</row>
    <row r="906" spans="1:53" x14ac:dyDescent="0.2">
      <c r="A906" s="87"/>
      <c r="B906" s="26"/>
      <c r="C906" s="59"/>
      <c r="E906" s="22"/>
      <c r="G906" s="49"/>
      <c r="H906" s="49"/>
      <c r="J906" s="51"/>
      <c r="K906" s="87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</row>
    <row r="907" spans="1:53" x14ac:dyDescent="0.2">
      <c r="A907" s="87"/>
      <c r="B907" s="26"/>
      <c r="C907" s="60"/>
      <c r="E907" s="49"/>
      <c r="G907" s="49"/>
      <c r="H907" s="49"/>
      <c r="J907" s="51"/>
      <c r="K907" s="87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</row>
    <row r="908" spans="1:53" x14ac:dyDescent="0.2">
      <c r="A908" s="87"/>
      <c r="B908" s="26"/>
      <c r="C908" s="51"/>
      <c r="J908" s="51"/>
      <c r="K908" s="87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</row>
    <row r="909" spans="1:53" x14ac:dyDescent="0.2">
      <c r="A909" s="87"/>
      <c r="B909" s="26"/>
      <c r="J909" s="51"/>
      <c r="K909" s="87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</row>
    <row r="910" spans="1:53" x14ac:dyDescent="0.2">
      <c r="A910" s="87"/>
      <c r="B910" s="26"/>
      <c r="D910" s="72"/>
      <c r="E910" s="47"/>
      <c r="G910" s="49"/>
      <c r="H910" s="49"/>
      <c r="J910" s="51"/>
      <c r="K910" s="87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</row>
    <row r="911" spans="1:53" x14ac:dyDescent="0.2">
      <c r="A911" s="87"/>
      <c r="B911" s="26"/>
      <c r="C911" s="11"/>
      <c r="D911" s="72"/>
      <c r="E911" s="49"/>
      <c r="G911" s="49"/>
      <c r="H911" s="49"/>
      <c r="J911" s="51"/>
      <c r="K911" s="87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</row>
    <row r="912" spans="1:53" x14ac:dyDescent="0.2">
      <c r="A912" s="87"/>
      <c r="B912" s="26"/>
      <c r="C912" s="33"/>
      <c r="D912" s="72"/>
      <c r="E912" s="22"/>
      <c r="G912" s="22"/>
      <c r="H912" s="22"/>
      <c r="J912" s="51"/>
      <c r="K912" s="87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</row>
    <row r="913" spans="1:51" x14ac:dyDescent="0.2">
      <c r="A913" s="87"/>
      <c r="B913" s="26"/>
      <c r="C913" s="52"/>
      <c r="J913" s="51"/>
      <c r="K913" s="87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</row>
    <row r="914" spans="1:51" x14ac:dyDescent="0.2">
      <c r="A914" s="87"/>
      <c r="B914" s="26"/>
      <c r="C914" s="11"/>
      <c r="D914" s="57"/>
      <c r="E914" s="49"/>
      <c r="G914" s="49"/>
      <c r="H914" s="49"/>
      <c r="J914" s="51"/>
      <c r="K914" s="87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</row>
    <row r="915" spans="1:51" x14ac:dyDescent="0.2">
      <c r="A915" s="87"/>
      <c r="B915" s="26"/>
      <c r="C915" s="35"/>
      <c r="D915" s="73"/>
      <c r="E915" s="49"/>
      <c r="G915" s="49"/>
      <c r="H915" s="49"/>
      <c r="J915" s="10"/>
      <c r="K915" s="87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</row>
    <row r="916" spans="1:51" x14ac:dyDescent="0.2">
      <c r="A916" s="87"/>
      <c r="B916" s="26"/>
      <c r="C916" s="33"/>
      <c r="D916" s="74"/>
      <c r="E916" s="49"/>
      <c r="G916" s="49"/>
      <c r="H916" s="49"/>
      <c r="J916" s="51"/>
      <c r="K916" s="87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</row>
    <row r="917" spans="1:51" x14ac:dyDescent="0.2">
      <c r="A917" s="87"/>
      <c r="B917" s="26"/>
      <c r="C917" s="36"/>
      <c r="D917" s="74"/>
      <c r="E917" s="49"/>
      <c r="F917" s="49"/>
      <c r="G917" s="49"/>
      <c r="H917" s="49"/>
      <c r="J917" s="51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</row>
    <row r="918" spans="1:51" x14ac:dyDescent="0.2">
      <c r="A918" s="87"/>
      <c r="B918" s="26"/>
      <c r="C918" s="34"/>
      <c r="D918" s="74"/>
      <c r="E918" s="49"/>
      <c r="J918" s="51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</row>
    <row r="919" spans="1:51" x14ac:dyDescent="0.2">
      <c r="A919" s="87"/>
      <c r="B919" s="26"/>
      <c r="C919" s="37"/>
      <c r="D919" s="74"/>
      <c r="E919" s="22"/>
      <c r="G919" s="49"/>
      <c r="H919" s="49"/>
      <c r="J919" s="51"/>
      <c r="K919" s="87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</row>
    <row r="920" spans="1:51" x14ac:dyDescent="0.2">
      <c r="A920" s="87"/>
      <c r="B920" s="26"/>
      <c r="C920" s="51"/>
      <c r="E920" s="49"/>
      <c r="G920" s="49"/>
      <c r="H920" s="49"/>
      <c r="J920" s="26"/>
      <c r="K920" s="87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</row>
    <row r="921" spans="1:51" x14ac:dyDescent="0.2">
      <c r="A921" s="87"/>
      <c r="B921" s="26"/>
      <c r="C921" s="52"/>
      <c r="J921" s="51"/>
      <c r="K921" s="87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</row>
    <row r="922" spans="1:51" x14ac:dyDescent="0.2">
      <c r="A922" s="87"/>
      <c r="B922" s="26"/>
      <c r="C922" s="52"/>
      <c r="E922" s="49"/>
      <c r="J922" s="51"/>
      <c r="K922" s="87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</row>
    <row r="923" spans="1:51" x14ac:dyDescent="0.2">
      <c r="A923" s="87"/>
      <c r="B923" s="26"/>
      <c r="C923" s="52"/>
      <c r="J923" s="51"/>
      <c r="K923" s="87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</row>
    <row r="924" spans="1:51" x14ac:dyDescent="0.2">
      <c r="A924" s="87"/>
      <c r="B924" s="26"/>
      <c r="C924" s="52"/>
      <c r="J924" s="51"/>
      <c r="K924" s="87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</row>
    <row r="925" spans="1:51" x14ac:dyDescent="0.2">
      <c r="A925" s="87"/>
      <c r="B925" s="26"/>
      <c r="C925" s="52"/>
      <c r="E925" s="49"/>
      <c r="G925" s="49"/>
      <c r="H925" s="49"/>
      <c r="J925" s="51"/>
      <c r="K925" s="87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</row>
    <row r="926" spans="1:51" x14ac:dyDescent="0.2">
      <c r="A926" s="87"/>
      <c r="B926" s="26"/>
      <c r="C926" s="52"/>
      <c r="J926" s="51"/>
      <c r="K926" s="87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</row>
    <row r="927" spans="1:51" x14ac:dyDescent="0.2">
      <c r="A927" s="87"/>
      <c r="B927" s="26"/>
      <c r="C927" s="48"/>
      <c r="E927" s="47"/>
      <c r="G927" s="47"/>
      <c r="H927" s="47"/>
      <c r="J927" s="51"/>
      <c r="K927" s="87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</row>
    <row r="928" spans="1:51" x14ac:dyDescent="0.2">
      <c r="A928" s="87"/>
      <c r="B928" s="26"/>
      <c r="C928" s="51"/>
      <c r="E928" s="49"/>
      <c r="G928" s="49"/>
      <c r="H928" s="49"/>
      <c r="J928" s="51"/>
      <c r="K928" s="87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</row>
    <row r="929" spans="1:51" x14ac:dyDescent="0.2">
      <c r="A929" s="87"/>
      <c r="B929" s="26"/>
      <c r="C929" s="52"/>
      <c r="E929" s="49"/>
      <c r="G929" s="49"/>
      <c r="H929" s="49"/>
      <c r="J929" s="51"/>
      <c r="K929" s="87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</row>
    <row r="930" spans="1:51" x14ac:dyDescent="0.2">
      <c r="A930" s="87"/>
      <c r="B930" s="26"/>
      <c r="C930" s="52"/>
      <c r="E930" s="49"/>
      <c r="G930" s="49"/>
      <c r="H930" s="49"/>
      <c r="J930" s="51"/>
      <c r="K930" s="87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</row>
    <row r="931" spans="1:51" x14ac:dyDescent="0.2">
      <c r="A931" s="87"/>
      <c r="B931" s="26"/>
      <c r="C931" s="52"/>
      <c r="E931" s="49"/>
      <c r="G931" s="49"/>
      <c r="H931" s="49"/>
      <c r="J931" s="51"/>
      <c r="K931" s="87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</row>
    <row r="932" spans="1:51" x14ac:dyDescent="0.2">
      <c r="A932" s="87"/>
      <c r="B932" s="26"/>
      <c r="C932" s="51"/>
      <c r="E932" s="49"/>
      <c r="F932" s="49"/>
      <c r="G932" s="49"/>
      <c r="H932" s="49"/>
      <c r="J932" s="51"/>
      <c r="K932" s="87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</row>
    <row r="933" spans="1:51" x14ac:dyDescent="0.2">
      <c r="A933" s="87"/>
      <c r="B933" s="26"/>
      <c r="C933" s="52"/>
      <c r="J933" s="51"/>
      <c r="K933" s="87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</row>
    <row r="934" spans="1:51" x14ac:dyDescent="0.2">
      <c r="A934" s="87"/>
      <c r="B934" s="26"/>
      <c r="C934" s="52"/>
      <c r="E934" s="49"/>
      <c r="G934" s="49"/>
      <c r="H934" s="49"/>
      <c r="J934" s="51"/>
      <c r="K934" s="87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</row>
    <row r="935" spans="1:51" x14ac:dyDescent="0.2">
      <c r="A935" s="87"/>
      <c r="B935" s="26"/>
      <c r="C935" s="52"/>
      <c r="E935" s="49"/>
      <c r="J935" s="51"/>
      <c r="K935" s="87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</row>
    <row r="936" spans="1:51" x14ac:dyDescent="0.2">
      <c r="A936" s="87"/>
      <c r="B936" s="26"/>
      <c r="C936" s="10"/>
      <c r="E936" s="49"/>
      <c r="G936" s="49"/>
      <c r="H936" s="49"/>
      <c r="J936" s="51"/>
      <c r="K936" s="87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</row>
    <row r="937" spans="1:51" x14ac:dyDescent="0.2">
      <c r="A937" s="87"/>
      <c r="B937" s="26"/>
      <c r="C937" s="10"/>
      <c r="E937" s="49"/>
      <c r="F937" s="49"/>
      <c r="G937" s="49"/>
      <c r="H937" s="49"/>
      <c r="J937" s="51"/>
      <c r="K937" s="87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</row>
    <row r="938" spans="1:51" x14ac:dyDescent="0.2">
      <c r="A938" s="87"/>
      <c r="B938" s="26"/>
      <c r="C938" s="52"/>
      <c r="E938" s="49"/>
      <c r="G938" s="49"/>
      <c r="H938" s="49"/>
      <c r="J938" s="51"/>
      <c r="K938" s="87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</row>
    <row r="939" spans="1:51" x14ac:dyDescent="0.2">
      <c r="A939" s="87"/>
      <c r="B939" s="26"/>
      <c r="C939" s="52"/>
      <c r="E939" s="49"/>
      <c r="J939" s="26"/>
      <c r="K939" s="87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</row>
    <row r="940" spans="1:51" x14ac:dyDescent="0.2">
      <c r="A940" s="87"/>
      <c r="B940" s="26"/>
      <c r="C940" s="51"/>
      <c r="E940" s="49"/>
      <c r="G940" s="49"/>
      <c r="H940" s="49"/>
      <c r="J940" s="51"/>
      <c r="K940" s="87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</row>
    <row r="941" spans="1:51" x14ac:dyDescent="0.2">
      <c r="A941" s="87"/>
      <c r="B941" s="26"/>
      <c r="C941" s="51"/>
      <c r="J941" s="51"/>
      <c r="K941" s="87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</row>
    <row r="942" spans="1:51" x14ac:dyDescent="0.2">
      <c r="A942" s="87"/>
      <c r="B942" s="26"/>
      <c r="C942" s="52"/>
      <c r="E942" s="49"/>
      <c r="J942" s="51"/>
      <c r="K942" s="87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</row>
    <row r="943" spans="1:51" x14ac:dyDescent="0.2">
      <c r="A943" s="87"/>
      <c r="B943" s="26"/>
      <c r="C943" s="52"/>
      <c r="E943" s="49"/>
      <c r="G943" s="49"/>
      <c r="H943" s="49"/>
      <c r="J943" s="51"/>
      <c r="K943" s="87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</row>
    <row r="944" spans="1:51" x14ac:dyDescent="0.2">
      <c r="A944" s="87"/>
      <c r="B944" s="26"/>
      <c r="C944" s="52"/>
      <c r="J944" s="51"/>
      <c r="K944" s="87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</row>
    <row r="945" spans="1:51" x14ac:dyDescent="0.2">
      <c r="A945" s="87"/>
      <c r="B945" s="26"/>
      <c r="C945" s="52"/>
      <c r="E945" s="49"/>
      <c r="G945" s="49"/>
      <c r="H945" s="49"/>
      <c r="J945" s="51"/>
      <c r="K945" s="87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</row>
    <row r="946" spans="1:51" x14ac:dyDescent="0.2">
      <c r="A946" s="87"/>
      <c r="B946" s="26"/>
      <c r="C946" s="52"/>
      <c r="J946" s="51"/>
      <c r="K946" s="87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</row>
    <row r="947" spans="1:51" x14ac:dyDescent="0.2">
      <c r="A947" s="87"/>
      <c r="B947" s="26"/>
      <c r="C947" s="52"/>
      <c r="J947" s="51"/>
      <c r="K947" s="87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</row>
    <row r="948" spans="1:51" x14ac:dyDescent="0.2">
      <c r="A948" s="87"/>
      <c r="B948" s="26"/>
      <c r="C948" s="52"/>
      <c r="J948" s="51"/>
      <c r="K948" s="87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</row>
    <row r="949" spans="1:51" x14ac:dyDescent="0.2">
      <c r="A949" s="87"/>
      <c r="B949" s="26"/>
      <c r="C949" s="10"/>
      <c r="D949" s="57"/>
      <c r="E949" s="49"/>
      <c r="F949" s="49"/>
      <c r="G949" s="49"/>
      <c r="H949" s="49"/>
      <c r="I949" s="49"/>
      <c r="J949" s="52"/>
      <c r="K949" s="87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</row>
    <row r="950" spans="1:51" x14ac:dyDescent="0.2">
      <c r="A950" s="87"/>
      <c r="B950" s="26"/>
      <c r="C950" s="52"/>
      <c r="J950" s="51"/>
      <c r="K950" s="87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</row>
    <row r="951" spans="1:51" x14ac:dyDescent="0.2">
      <c r="A951" s="87"/>
      <c r="B951" s="26"/>
      <c r="C951" s="52"/>
      <c r="E951" s="49"/>
      <c r="G951" s="49"/>
      <c r="H951" s="49"/>
      <c r="J951" s="51"/>
      <c r="K951" s="87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</row>
    <row r="952" spans="1:51" x14ac:dyDescent="0.2">
      <c r="A952" s="87"/>
      <c r="B952" s="26"/>
      <c r="C952" s="52"/>
      <c r="J952" s="51"/>
      <c r="K952" s="87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</row>
    <row r="953" spans="1:51" x14ac:dyDescent="0.2">
      <c r="A953" s="87"/>
      <c r="B953" s="26"/>
      <c r="C953" s="10"/>
      <c r="J953" s="51"/>
      <c r="K953" s="87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</row>
    <row r="954" spans="1:51" x14ac:dyDescent="0.2">
      <c r="A954" s="87"/>
      <c r="B954" s="26"/>
      <c r="C954" s="10"/>
      <c r="E954" s="49"/>
      <c r="G954" s="49"/>
      <c r="H954" s="49"/>
      <c r="J954" s="10"/>
      <c r="K954" s="87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</row>
    <row r="955" spans="1:51" x14ac:dyDescent="0.2">
      <c r="A955" s="87"/>
      <c r="B955" s="26"/>
      <c r="C955" s="51"/>
      <c r="E955" s="49"/>
      <c r="G955" s="49"/>
      <c r="H955" s="49"/>
      <c r="J955" s="10"/>
      <c r="K955" s="87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</row>
    <row r="956" spans="1:51" x14ac:dyDescent="0.2">
      <c r="A956" s="87"/>
      <c r="B956" s="26"/>
      <c r="C956" s="10"/>
      <c r="E956" s="49"/>
      <c r="G956" s="49"/>
      <c r="H956" s="49"/>
      <c r="J956" s="51"/>
      <c r="K956" s="87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</row>
    <row r="957" spans="1:51" x14ac:dyDescent="0.2">
      <c r="A957" s="87"/>
      <c r="B957" s="26"/>
      <c r="C957" s="52"/>
      <c r="E957" s="49"/>
      <c r="J957" s="51"/>
      <c r="K957" s="87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</row>
    <row r="958" spans="1:51" x14ac:dyDescent="0.2">
      <c r="A958" s="87"/>
      <c r="B958" s="26"/>
      <c r="C958" s="10"/>
      <c r="J958" s="51"/>
      <c r="K958" s="87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</row>
    <row r="959" spans="1:51" x14ac:dyDescent="0.2">
      <c r="A959" s="87"/>
      <c r="B959" s="26"/>
      <c r="C959" s="10"/>
      <c r="J959" s="51"/>
      <c r="K959" s="87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</row>
    <row r="960" spans="1:51" x14ac:dyDescent="0.2">
      <c r="A960" s="87"/>
      <c r="B960" s="26"/>
      <c r="C960" s="52"/>
      <c r="E960" s="49"/>
      <c r="F960" s="49"/>
      <c r="G960" s="49"/>
      <c r="H960" s="49"/>
      <c r="J960" s="51"/>
      <c r="K960" s="87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</row>
    <row r="961" spans="1:51" x14ac:dyDescent="0.2">
      <c r="A961" s="87"/>
      <c r="B961" s="26"/>
      <c r="C961" s="10"/>
      <c r="J961" s="51"/>
      <c r="K961" s="87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</row>
    <row r="962" spans="1:51" x14ac:dyDescent="0.2">
      <c r="A962" s="87"/>
      <c r="B962" s="26"/>
      <c r="C962" s="10"/>
      <c r="J962" s="51"/>
      <c r="K962" s="87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</row>
    <row r="963" spans="1:51" x14ac:dyDescent="0.2">
      <c r="A963" s="87"/>
      <c r="B963" s="26"/>
      <c r="C963" s="51"/>
      <c r="J963" s="51"/>
      <c r="K963" s="87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</row>
    <row r="964" spans="1:51" x14ac:dyDescent="0.2">
      <c r="A964" s="87"/>
      <c r="B964" s="26"/>
      <c r="C964" s="51"/>
      <c r="E964" s="49"/>
      <c r="G964" s="49"/>
      <c r="H964" s="49"/>
      <c r="J964" s="51"/>
      <c r="K964" s="87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</row>
    <row r="965" spans="1:51" x14ac:dyDescent="0.2">
      <c r="A965" s="87"/>
      <c r="B965" s="26"/>
      <c r="C965" s="52"/>
      <c r="E965" s="49"/>
      <c r="G965" s="49"/>
      <c r="H965" s="49"/>
      <c r="J965" s="51"/>
      <c r="K965" s="87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</row>
    <row r="966" spans="1:51" x14ac:dyDescent="0.2">
      <c r="A966" s="87"/>
      <c r="B966" s="26"/>
      <c r="C966" s="10"/>
      <c r="E966" s="49"/>
      <c r="G966" s="49"/>
      <c r="H966" s="49"/>
      <c r="J966" s="10"/>
      <c r="K966" s="87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</row>
    <row r="967" spans="1:51" x14ac:dyDescent="0.2">
      <c r="A967" s="87"/>
      <c r="B967" s="26"/>
      <c r="C967" s="52"/>
      <c r="E967" s="49"/>
      <c r="J967" s="51"/>
      <c r="K967" s="87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</row>
    <row r="968" spans="1:51" x14ac:dyDescent="0.2">
      <c r="A968" s="87"/>
      <c r="B968" s="26"/>
      <c r="C968" s="10"/>
      <c r="E968" s="49"/>
      <c r="G968" s="49"/>
      <c r="H968" s="49"/>
      <c r="J968" s="51"/>
      <c r="K968" s="87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</row>
    <row r="969" spans="1:51" x14ac:dyDescent="0.2">
      <c r="A969" s="87"/>
      <c r="B969" s="26"/>
      <c r="C969" s="52"/>
      <c r="J969" s="51"/>
      <c r="K969" s="87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</row>
    <row r="970" spans="1:51" x14ac:dyDescent="0.2">
      <c r="A970" s="87"/>
      <c r="B970" s="26"/>
      <c r="C970" s="52"/>
      <c r="E970" s="49"/>
      <c r="G970" s="49"/>
      <c r="H970" s="49"/>
      <c r="J970" s="51"/>
      <c r="K970" s="87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</row>
    <row r="971" spans="1:51" x14ac:dyDescent="0.2">
      <c r="A971" s="87"/>
      <c r="B971" s="26"/>
      <c r="C971" s="52"/>
      <c r="E971" s="49"/>
      <c r="G971" s="49"/>
      <c r="H971" s="49"/>
      <c r="J971" s="51"/>
      <c r="K971" s="87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</row>
    <row r="972" spans="1:51" x14ac:dyDescent="0.2">
      <c r="A972" s="87"/>
      <c r="B972" s="26"/>
      <c r="C972" s="10"/>
      <c r="J972" s="51"/>
      <c r="K972" s="87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</row>
    <row r="973" spans="1:51" x14ac:dyDescent="0.2">
      <c r="A973" s="87"/>
      <c r="B973" s="26"/>
      <c r="C973" s="10"/>
      <c r="J973" s="51"/>
      <c r="K973" s="87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</row>
    <row r="974" spans="1:51" x14ac:dyDescent="0.2">
      <c r="A974" s="87"/>
      <c r="B974" s="26"/>
      <c r="C974" s="10"/>
      <c r="J974" s="51"/>
      <c r="K974" s="87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</row>
    <row r="975" spans="1:51" x14ac:dyDescent="0.2">
      <c r="A975" s="87"/>
      <c r="B975" s="26"/>
      <c r="C975" s="10"/>
      <c r="J975" s="51"/>
      <c r="K975" s="87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</row>
    <row r="976" spans="1:51" x14ac:dyDescent="0.2">
      <c r="A976" s="87"/>
      <c r="B976" s="26"/>
      <c r="C976" s="10"/>
      <c r="J976" s="10"/>
      <c r="K976" s="87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</row>
    <row r="977" spans="1:51" x14ac:dyDescent="0.2">
      <c r="A977" s="87"/>
      <c r="B977" s="26"/>
      <c r="C977" s="10"/>
      <c r="J977" s="10"/>
      <c r="K977" s="87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</row>
    <row r="978" spans="1:51" x14ac:dyDescent="0.2">
      <c r="A978" s="87"/>
      <c r="B978" s="26"/>
      <c r="C978" s="10"/>
      <c r="J978" s="10"/>
      <c r="K978" s="87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</row>
    <row r="979" spans="1:51" x14ac:dyDescent="0.2">
      <c r="A979" s="87"/>
      <c r="B979" s="26"/>
      <c r="C979" s="20"/>
      <c r="E979" s="47"/>
      <c r="G979" s="47"/>
      <c r="H979" s="47"/>
      <c r="J979" s="10"/>
      <c r="K979" s="87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</row>
    <row r="980" spans="1:51" x14ac:dyDescent="0.2">
      <c r="A980" s="87"/>
      <c r="B980" s="26"/>
      <c r="C980" s="10"/>
      <c r="J980" s="10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</row>
    <row r="981" spans="1:51" x14ac:dyDescent="0.2">
      <c r="A981" s="87"/>
      <c r="B981" s="26"/>
      <c r="C981" s="10"/>
      <c r="J981" s="51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</row>
    <row r="982" spans="1:51" x14ac:dyDescent="0.2">
      <c r="A982" s="87"/>
      <c r="B982" s="26"/>
      <c r="C982" s="51"/>
      <c r="J982" s="51"/>
      <c r="K982" s="87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</row>
    <row r="983" spans="1:51" x14ac:dyDescent="0.2">
      <c r="A983" s="87"/>
      <c r="B983" s="26"/>
      <c r="C983" s="20"/>
      <c r="E983" s="47"/>
      <c r="G983" s="47"/>
      <c r="H983" s="47"/>
      <c r="J983" s="51"/>
      <c r="K983" s="87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</row>
    <row r="984" spans="1:51" x14ac:dyDescent="0.2">
      <c r="A984" s="87"/>
      <c r="B984" s="26"/>
      <c r="C984" s="10"/>
      <c r="J984" s="51"/>
      <c r="K984" s="87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</row>
    <row r="985" spans="1:51" x14ac:dyDescent="0.2">
      <c r="A985" s="87"/>
      <c r="B985" s="26"/>
      <c r="C985" s="10"/>
      <c r="J985" s="51"/>
      <c r="K985" s="87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</row>
    <row r="986" spans="1:51" x14ac:dyDescent="0.2">
      <c r="A986" s="87"/>
      <c r="B986" s="26"/>
      <c r="C986" s="10"/>
      <c r="J986" s="51"/>
      <c r="K986" s="87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</row>
    <row r="987" spans="1:51" x14ac:dyDescent="0.2">
      <c r="A987" s="87"/>
      <c r="B987" s="26"/>
      <c r="C987" s="10"/>
      <c r="J987" s="10"/>
      <c r="K987" s="87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</row>
    <row r="988" spans="1:51" x14ac:dyDescent="0.2">
      <c r="A988" s="87"/>
      <c r="B988" s="26"/>
      <c r="C988" s="10"/>
      <c r="J988" s="51"/>
      <c r="K988" s="87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</row>
    <row r="989" spans="1:51" x14ac:dyDescent="0.2">
      <c r="A989" s="87"/>
      <c r="B989" s="26"/>
      <c r="C989" s="10"/>
      <c r="J989" s="51"/>
      <c r="K989" s="87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</row>
    <row r="990" spans="1:51" x14ac:dyDescent="0.2">
      <c r="A990" s="87"/>
      <c r="B990" s="26"/>
      <c r="C990" s="10"/>
      <c r="J990" s="51"/>
      <c r="K990" s="87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</row>
    <row r="991" spans="1:51" x14ac:dyDescent="0.2">
      <c r="A991" s="87"/>
      <c r="B991" s="26"/>
      <c r="C991" s="10"/>
      <c r="J991" s="10"/>
      <c r="K991" s="87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</row>
    <row r="992" spans="1:51" x14ac:dyDescent="0.2">
      <c r="A992" s="87"/>
      <c r="B992" s="26"/>
      <c r="C992" s="10"/>
      <c r="J992" s="51"/>
      <c r="K992" s="87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</row>
    <row r="993" spans="1:51" x14ac:dyDescent="0.2">
      <c r="A993" s="87"/>
      <c r="B993" s="26"/>
      <c r="C993" s="10"/>
      <c r="J993" s="51"/>
      <c r="K993" s="87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</row>
    <row r="994" spans="1:51" x14ac:dyDescent="0.2">
      <c r="A994" s="87"/>
      <c r="B994" s="26"/>
      <c r="C994" s="10"/>
      <c r="J994" s="51"/>
      <c r="K994" s="87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</row>
    <row r="995" spans="1:51" x14ac:dyDescent="0.2">
      <c r="A995" s="87"/>
      <c r="B995" s="26"/>
      <c r="C995" s="10"/>
      <c r="J995" s="51"/>
      <c r="K995" s="87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</row>
    <row r="996" spans="1:51" x14ac:dyDescent="0.2">
      <c r="A996" s="87"/>
      <c r="B996" s="26"/>
      <c r="C996" s="10"/>
      <c r="J996" s="51"/>
      <c r="K996" s="51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</row>
    <row r="997" spans="1:51" x14ac:dyDescent="0.2">
      <c r="A997" s="87"/>
      <c r="B997" s="26"/>
      <c r="C997" s="10"/>
      <c r="J997" s="51"/>
      <c r="K997" s="51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</row>
    <row r="998" spans="1:51" x14ac:dyDescent="0.2">
      <c r="A998" s="87"/>
      <c r="B998" s="26"/>
      <c r="C998" s="10"/>
      <c r="J998" s="10"/>
      <c r="K998" s="51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</row>
    <row r="999" spans="1:51" x14ac:dyDescent="0.2">
      <c r="A999" s="87"/>
      <c r="B999" s="26"/>
      <c r="C999" s="10"/>
      <c r="J999" s="10"/>
      <c r="K999" s="51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</row>
    <row r="1000" spans="1:51" x14ac:dyDescent="0.2">
      <c r="A1000" s="87"/>
      <c r="B1000" s="26"/>
      <c r="C1000" s="10"/>
      <c r="J1000" s="10"/>
      <c r="K1000" s="51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</row>
    <row r="1001" spans="1:51" x14ac:dyDescent="0.2">
      <c r="A1001" s="87"/>
      <c r="B1001" s="26"/>
      <c r="C1001" s="10"/>
      <c r="J1001" s="10"/>
      <c r="K1001" s="51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</row>
    <row r="1002" spans="1:51" x14ac:dyDescent="0.2">
      <c r="A1002" s="87"/>
      <c r="B1002" s="26"/>
      <c r="C1002" s="10"/>
      <c r="J1002" s="51"/>
      <c r="K1002" s="51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</row>
    <row r="1003" spans="1:51" x14ac:dyDescent="0.2">
      <c r="A1003" s="87"/>
      <c r="B1003" s="26"/>
      <c r="C1003" s="10"/>
      <c r="J1003" s="51"/>
      <c r="K1003" s="51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</row>
    <row r="1004" spans="1:51" x14ac:dyDescent="0.2">
      <c r="A1004" s="87"/>
      <c r="B1004" s="26"/>
      <c r="C1004" s="10"/>
      <c r="J1004" s="51"/>
      <c r="K1004" s="51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</row>
    <row r="1005" spans="1:51" x14ac:dyDescent="0.2">
      <c r="A1005" s="87"/>
      <c r="B1005" s="26"/>
      <c r="C1005" s="10"/>
      <c r="J1005" s="51"/>
      <c r="K1005" s="51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</row>
    <row r="1006" spans="1:51" x14ac:dyDescent="0.2">
      <c r="A1006" s="87"/>
      <c r="B1006" s="26"/>
      <c r="C1006" s="10"/>
      <c r="J1006" s="51"/>
      <c r="K1006" s="51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</row>
    <row r="1007" spans="1:51" x14ac:dyDescent="0.2">
      <c r="A1007" s="87"/>
      <c r="B1007" s="26"/>
      <c r="C1007" s="10"/>
      <c r="J1007" s="51"/>
      <c r="K1007" s="51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</row>
    <row r="1008" spans="1:51" x14ac:dyDescent="0.2">
      <c r="A1008" s="87"/>
      <c r="B1008" s="26"/>
      <c r="C1008" s="10"/>
      <c r="J1008" s="51"/>
      <c r="K1008" s="51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</row>
    <row r="1009" spans="1:51" x14ac:dyDescent="0.2">
      <c r="A1009" s="87"/>
      <c r="B1009" s="26"/>
      <c r="C1009" s="10"/>
      <c r="J1009" s="51"/>
      <c r="K1009" s="51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</row>
    <row r="1010" spans="1:51" x14ac:dyDescent="0.2">
      <c r="A1010" s="87"/>
      <c r="B1010" s="26"/>
      <c r="C1010" s="10"/>
      <c r="J1010" s="51"/>
      <c r="K1010" s="51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</row>
    <row r="1011" spans="1:51" x14ac:dyDescent="0.2">
      <c r="A1011" s="87"/>
      <c r="B1011" s="26"/>
      <c r="C1011" s="10"/>
      <c r="J1011" s="10"/>
      <c r="K1011" s="51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</row>
    <row r="1012" spans="1:51" x14ac:dyDescent="0.2">
      <c r="A1012" s="87"/>
      <c r="B1012" s="26"/>
      <c r="C1012" s="10"/>
      <c r="J1012" s="51"/>
      <c r="K1012" s="51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</row>
    <row r="1013" spans="1:51" x14ac:dyDescent="0.2">
      <c r="A1013" s="87"/>
      <c r="B1013" s="26"/>
      <c r="C1013" s="10"/>
      <c r="J1013" s="10"/>
      <c r="K1013" s="51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</row>
    <row r="1014" spans="1:51" x14ac:dyDescent="0.2">
      <c r="A1014" s="87"/>
      <c r="B1014" s="26"/>
      <c r="C1014" s="10"/>
      <c r="J1014" s="51"/>
      <c r="K1014" s="51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</row>
    <row r="1015" spans="1:51" x14ac:dyDescent="0.2">
      <c r="A1015" s="87"/>
      <c r="B1015" s="26"/>
      <c r="C1015" s="10"/>
      <c r="J1015" s="10"/>
      <c r="K1015" s="51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</row>
    <row r="1016" spans="1:51" x14ac:dyDescent="0.2">
      <c r="A1016" s="87"/>
      <c r="B1016" s="26"/>
      <c r="C1016" s="10"/>
      <c r="J1016" s="51"/>
      <c r="K1016" s="51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</row>
    <row r="1017" spans="1:51" x14ac:dyDescent="0.2">
      <c r="A1017" s="87"/>
      <c r="B1017" s="26"/>
      <c r="C1017" s="10"/>
      <c r="J1017" s="51"/>
      <c r="K1017" s="51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</row>
    <row r="1018" spans="1:51" x14ac:dyDescent="0.2">
      <c r="A1018" s="87"/>
      <c r="B1018" s="26"/>
      <c r="C1018" s="10"/>
      <c r="J1018" s="51"/>
      <c r="K1018" s="51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</row>
    <row r="1019" spans="1:51" x14ac:dyDescent="0.2">
      <c r="A1019" s="87"/>
      <c r="B1019" s="26"/>
      <c r="C1019" s="10"/>
      <c r="J1019" s="51"/>
      <c r="K1019" s="51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</row>
    <row r="1020" spans="1:51" x14ac:dyDescent="0.2">
      <c r="A1020" s="87"/>
      <c r="B1020" s="26"/>
      <c r="C1020" s="10"/>
      <c r="J1020" s="51"/>
      <c r="K1020" s="51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</row>
    <row r="1021" spans="1:51" x14ac:dyDescent="0.2">
      <c r="A1021" s="87"/>
      <c r="B1021" s="26"/>
      <c r="C1021" s="10"/>
      <c r="J1021" s="51"/>
      <c r="K1021" s="51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</row>
    <row r="1022" spans="1:51" x14ac:dyDescent="0.2">
      <c r="A1022" s="87"/>
      <c r="B1022" s="26"/>
      <c r="C1022" s="10"/>
      <c r="J1022" s="51"/>
      <c r="K1022" s="51"/>
      <c r="L1022" s="89"/>
      <c r="M1022" s="89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</row>
    <row r="1023" spans="1:51" x14ac:dyDescent="0.2">
      <c r="A1023" s="87"/>
      <c r="B1023" s="26"/>
      <c r="C1023" s="10"/>
      <c r="J1023" s="51"/>
      <c r="K1023" s="51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</row>
    <row r="1024" spans="1:51" x14ac:dyDescent="0.2">
      <c r="A1024" s="87"/>
      <c r="B1024" s="26"/>
      <c r="C1024" s="10"/>
      <c r="J1024" s="51"/>
      <c r="K1024" s="51"/>
      <c r="L1024" s="89"/>
      <c r="M1024" s="89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</row>
    <row r="1025" spans="1:51" x14ac:dyDescent="0.2">
      <c r="A1025" s="87"/>
      <c r="B1025" s="26"/>
      <c r="C1025" s="10"/>
      <c r="J1025" s="51"/>
      <c r="K1025" s="51"/>
      <c r="L1025" s="89"/>
      <c r="M1025" s="89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</row>
    <row r="1026" spans="1:51" x14ac:dyDescent="0.2">
      <c r="A1026" s="87"/>
      <c r="B1026" s="26"/>
      <c r="C1026" s="10"/>
      <c r="J1026" s="51"/>
      <c r="K1026" s="51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</row>
    <row r="1027" spans="1:51" x14ac:dyDescent="0.2">
      <c r="A1027" s="87"/>
      <c r="B1027" s="26"/>
      <c r="C1027" s="10"/>
      <c r="J1027" s="51"/>
      <c r="K1027" s="51"/>
      <c r="L1027" s="89"/>
      <c r="M1027" s="89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</row>
    <row r="1028" spans="1:51" x14ac:dyDescent="0.2">
      <c r="A1028" s="87"/>
      <c r="B1028" s="26"/>
      <c r="C1028" s="10"/>
      <c r="J1028" s="51"/>
      <c r="K1028" s="51"/>
      <c r="L1028" s="89"/>
      <c r="M1028" s="89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/>
      <c r="AX1028" s="89"/>
      <c r="AY1028" s="89"/>
    </row>
    <row r="1029" spans="1:51" x14ac:dyDescent="0.2">
      <c r="A1029" s="87"/>
      <c r="B1029" s="26"/>
      <c r="C1029" s="10"/>
      <c r="J1029" s="51"/>
      <c r="K1029" s="51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</row>
    <row r="1030" spans="1:51" x14ac:dyDescent="0.2">
      <c r="A1030" s="87"/>
      <c r="B1030" s="26"/>
      <c r="C1030" s="10"/>
      <c r="J1030" s="51"/>
      <c r="K1030" s="51"/>
      <c r="L1030" s="89"/>
      <c r="M1030" s="89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</row>
    <row r="1031" spans="1:51" x14ac:dyDescent="0.2">
      <c r="A1031" s="87"/>
      <c r="B1031" s="26"/>
      <c r="C1031" s="10"/>
      <c r="J1031" s="51"/>
      <c r="K1031" s="51"/>
      <c r="L1031" s="89"/>
      <c r="M1031" s="89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</row>
    <row r="1032" spans="1:51" x14ac:dyDescent="0.2">
      <c r="A1032" s="87"/>
      <c r="B1032" s="26"/>
      <c r="C1032" s="10"/>
      <c r="J1032" s="51"/>
      <c r="K1032" s="51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</row>
    <row r="1033" spans="1:51" x14ac:dyDescent="0.2">
      <c r="A1033" s="87"/>
      <c r="B1033" s="26"/>
      <c r="C1033" s="10"/>
      <c r="J1033" s="51"/>
      <c r="K1033" s="51"/>
      <c r="L1033" s="89"/>
      <c r="M1033" s="89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</row>
    <row r="1034" spans="1:51" x14ac:dyDescent="0.2">
      <c r="A1034" s="87"/>
      <c r="B1034" s="26"/>
      <c r="C1034" s="10"/>
      <c r="J1034" s="51"/>
      <c r="K1034" s="51"/>
      <c r="L1034" s="89"/>
      <c r="M1034" s="89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89"/>
      <c r="AX1034" s="89"/>
      <c r="AY1034" s="89"/>
    </row>
    <row r="1035" spans="1:51" x14ac:dyDescent="0.2">
      <c r="A1035" s="87"/>
      <c r="B1035" s="26"/>
      <c r="C1035" s="10"/>
      <c r="J1035" s="51"/>
      <c r="K1035" s="51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89"/>
      <c r="AX1035" s="89"/>
      <c r="AY1035" s="89"/>
    </row>
    <row r="1036" spans="1:51" x14ac:dyDescent="0.2">
      <c r="A1036" s="87"/>
      <c r="B1036" s="26"/>
      <c r="C1036" s="10"/>
      <c r="J1036" s="51"/>
      <c r="K1036" s="51"/>
      <c r="L1036" s="89"/>
      <c r="M1036" s="89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89"/>
      <c r="AX1036" s="89"/>
      <c r="AY1036" s="89"/>
    </row>
    <row r="1037" spans="1:51" x14ac:dyDescent="0.2">
      <c r="A1037" s="87"/>
      <c r="B1037" s="26"/>
      <c r="C1037" s="10"/>
      <c r="J1037" s="51"/>
      <c r="K1037" s="51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89"/>
      <c r="AX1037" s="89"/>
      <c r="AY1037" s="89"/>
    </row>
    <row r="1038" spans="1:51" x14ac:dyDescent="0.2">
      <c r="A1038" s="87"/>
      <c r="B1038" s="26"/>
      <c r="C1038" s="10"/>
      <c r="J1038" s="51"/>
      <c r="K1038" s="51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</row>
    <row r="1039" spans="1:51" x14ac:dyDescent="0.2">
      <c r="A1039" s="87"/>
      <c r="B1039" s="26"/>
      <c r="C1039" s="10"/>
      <c r="J1039" s="51"/>
      <c r="K1039" s="51"/>
      <c r="L1039" s="89"/>
      <c r="M1039" s="89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</row>
    <row r="1040" spans="1:51" x14ac:dyDescent="0.2">
      <c r="A1040" s="87"/>
      <c r="B1040" s="26"/>
      <c r="C1040" s="10"/>
      <c r="J1040" s="51"/>
      <c r="K1040" s="51"/>
      <c r="L1040" s="89"/>
      <c r="M1040" s="89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</row>
    <row r="1041" spans="1:51" x14ac:dyDescent="0.2">
      <c r="A1041" s="87"/>
      <c r="B1041" s="26"/>
      <c r="C1041" s="10"/>
      <c r="J1041" s="51"/>
      <c r="K1041" s="51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</row>
    <row r="1042" spans="1:51" x14ac:dyDescent="0.2">
      <c r="A1042" s="87"/>
      <c r="B1042" s="26"/>
      <c r="C1042" s="10"/>
      <c r="J1042" s="10"/>
      <c r="K1042" s="51"/>
      <c r="L1042" s="89"/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</row>
    <row r="1043" spans="1:51" x14ac:dyDescent="0.2">
      <c r="A1043" s="87"/>
      <c r="B1043" s="26"/>
      <c r="C1043" s="10"/>
      <c r="J1043" s="51"/>
      <c r="K1043" s="51"/>
      <c r="L1043" s="89"/>
      <c r="M1043" s="89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</row>
    <row r="1044" spans="1:51" x14ac:dyDescent="0.2">
      <c r="A1044" s="87"/>
      <c r="B1044" s="26"/>
      <c r="C1044" s="10"/>
      <c r="J1044" s="51"/>
      <c r="K1044" s="51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</row>
    <row r="1045" spans="1:51" x14ac:dyDescent="0.2">
      <c r="A1045" s="87"/>
      <c r="B1045" s="26"/>
      <c r="C1045" s="10"/>
      <c r="J1045" s="51"/>
      <c r="K1045" s="51"/>
      <c r="L1045" s="89"/>
      <c r="M1045" s="89"/>
      <c r="N1045" s="89"/>
      <c r="O1045" s="89"/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</row>
    <row r="1046" spans="1:51" s="8" customFormat="1" x14ac:dyDescent="0.2">
      <c r="A1046" s="87"/>
      <c r="B1046" s="26"/>
      <c r="C1046" s="10"/>
      <c r="D1046" s="55"/>
      <c r="E1046" s="50"/>
      <c r="F1046" s="50"/>
      <c r="G1046" s="50"/>
      <c r="H1046" s="88"/>
      <c r="I1046" s="50"/>
      <c r="J1046" s="51"/>
      <c r="K1046" s="51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</row>
    <row r="1047" spans="1:51" x14ac:dyDescent="0.2">
      <c r="C1047" s="10"/>
      <c r="J1047" s="51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</row>
    <row r="1048" spans="1:51" x14ac:dyDescent="0.2">
      <c r="C1048" s="10"/>
      <c r="J1048" s="51"/>
      <c r="K1048" s="51"/>
      <c r="L1048" s="89"/>
      <c r="M1048" s="89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</row>
    <row r="1049" spans="1:51" x14ac:dyDescent="0.2">
      <c r="C1049" s="10"/>
      <c r="J1049" s="51"/>
      <c r="K1049" s="51"/>
      <c r="L1049" s="89"/>
      <c r="M1049" s="89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</row>
    <row r="1050" spans="1:51" x14ac:dyDescent="0.2">
      <c r="C1050" s="10"/>
      <c r="J1050" s="51"/>
      <c r="K1050" s="51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</row>
    <row r="1051" spans="1:51" x14ac:dyDescent="0.2">
      <c r="C1051" s="10"/>
      <c r="J1051" s="51"/>
      <c r="K1051" s="51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</row>
    <row r="1052" spans="1:51" x14ac:dyDescent="0.2">
      <c r="C1052" s="10"/>
      <c r="J1052" s="51"/>
      <c r="K1052" s="51"/>
      <c r="L1052" s="89"/>
      <c r="M1052" s="89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</row>
    <row r="1053" spans="1:51" x14ac:dyDescent="0.2">
      <c r="C1053" s="10"/>
      <c r="J1053" s="51"/>
      <c r="K1053" s="51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</row>
    <row r="1054" spans="1:51" x14ac:dyDescent="0.2">
      <c r="C1054" s="10"/>
      <c r="J1054" s="51"/>
      <c r="K1054" s="51"/>
      <c r="L1054" s="89"/>
      <c r="M1054" s="89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</row>
    <row r="1055" spans="1:51" x14ac:dyDescent="0.2">
      <c r="C1055" s="10"/>
      <c r="J1055" s="10"/>
      <c r="K1055" s="51"/>
      <c r="L1055" s="89"/>
      <c r="M1055" s="89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</row>
    <row r="1056" spans="1:51" x14ac:dyDescent="0.2">
      <c r="C1056" s="10"/>
      <c r="J1056" s="10"/>
      <c r="K1056" s="51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</row>
    <row r="1057" spans="1:51" x14ac:dyDescent="0.2">
      <c r="A1057" s="47"/>
      <c r="B1057" s="47"/>
      <c r="C1057" s="10"/>
      <c r="J1057" s="10"/>
      <c r="K1057" s="51"/>
      <c r="L1057" s="89"/>
      <c r="M1057" s="89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</row>
    <row r="1058" spans="1:51" x14ac:dyDescent="0.2">
      <c r="C1058" s="10"/>
      <c r="J1058" s="10"/>
      <c r="K1058" s="51"/>
      <c r="L1058" s="89"/>
      <c r="M1058" s="89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</row>
    <row r="1059" spans="1:51" x14ac:dyDescent="0.2">
      <c r="J1059" s="51"/>
      <c r="K1059" s="51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</row>
    <row r="1060" spans="1:51" x14ac:dyDescent="0.2">
      <c r="E1060" s="47"/>
      <c r="G1060" s="47"/>
      <c r="H1060" s="47"/>
      <c r="J1060" s="51"/>
      <c r="K1060" s="51"/>
      <c r="L1060" s="89"/>
      <c r="M1060" s="89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</row>
    <row r="1061" spans="1:51" x14ac:dyDescent="0.2">
      <c r="C1061" s="19"/>
      <c r="J1061" s="51"/>
      <c r="K1061" s="51"/>
      <c r="L1061" s="89"/>
      <c r="M1061" s="89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</row>
    <row r="1062" spans="1:51" x14ac:dyDescent="0.2">
      <c r="C1062" s="19"/>
      <c r="E1062" s="47"/>
      <c r="J1062" s="51"/>
      <c r="K1062" s="51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</row>
    <row r="1063" spans="1:51" x14ac:dyDescent="0.2">
      <c r="A1063" s="87"/>
      <c r="B1063" s="26"/>
      <c r="C1063" s="19"/>
      <c r="E1063" s="47"/>
      <c r="J1063" s="51"/>
      <c r="K1063" s="51"/>
      <c r="L1063" s="89"/>
      <c r="M1063" s="89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</row>
    <row r="1064" spans="1:51" x14ac:dyDescent="0.2">
      <c r="A1064" s="87"/>
      <c r="B1064" s="26"/>
      <c r="C1064" s="19"/>
      <c r="E1064" s="47"/>
      <c r="J1064" s="51"/>
      <c r="K1064" s="51"/>
      <c r="L1064" s="89"/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</row>
    <row r="1065" spans="1:51" x14ac:dyDescent="0.2">
      <c r="A1065" s="87"/>
      <c r="B1065" s="26"/>
      <c r="C1065" s="19"/>
      <c r="E1065" s="47"/>
      <c r="J1065" s="51"/>
      <c r="K1065" s="51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</row>
    <row r="1066" spans="1:51" x14ac:dyDescent="0.2">
      <c r="A1066" s="87"/>
      <c r="B1066" s="26"/>
      <c r="C1066" s="47"/>
      <c r="D1066" s="70"/>
      <c r="E1066" s="47"/>
      <c r="F1066" s="47"/>
      <c r="G1066" s="47"/>
      <c r="H1066" s="47"/>
      <c r="I1066" s="47"/>
      <c r="J1066" s="48"/>
      <c r="K1066" s="51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</row>
    <row r="1067" spans="1:51" x14ac:dyDescent="0.2">
      <c r="A1067" s="87"/>
      <c r="B1067" s="26"/>
      <c r="J1067" s="51"/>
      <c r="K1067" s="51"/>
      <c r="L1067" s="89"/>
      <c r="M1067" s="89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</row>
    <row r="1068" spans="1:51" x14ac:dyDescent="0.2">
      <c r="A1068" s="87"/>
      <c r="B1068" s="26"/>
      <c r="C1068" s="19"/>
      <c r="J1068" s="51"/>
      <c r="K1068" s="51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</row>
    <row r="1069" spans="1:51" x14ac:dyDescent="0.2">
      <c r="A1069" s="87"/>
      <c r="B1069" s="26"/>
      <c r="J1069" s="51"/>
      <c r="K1069" s="51"/>
      <c r="L1069" s="89"/>
      <c r="M1069" s="89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</row>
    <row r="1070" spans="1:51" x14ac:dyDescent="0.2">
      <c r="A1070" s="87"/>
      <c r="B1070" s="26"/>
      <c r="C1070" s="21"/>
      <c r="J1070" s="51"/>
      <c r="K1070" s="51"/>
      <c r="L1070" s="89"/>
      <c r="M1070" s="89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</row>
    <row r="1071" spans="1:51" x14ac:dyDescent="0.2">
      <c r="A1071" s="87"/>
      <c r="B1071" s="26"/>
      <c r="C1071" s="21"/>
      <c r="J1071" s="51"/>
      <c r="K1071" s="51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</row>
    <row r="1072" spans="1:51" x14ac:dyDescent="0.2">
      <c r="A1072" s="87"/>
      <c r="B1072" s="26"/>
      <c r="C1072" s="21"/>
      <c r="J1072" s="51"/>
      <c r="K1072" s="51"/>
      <c r="L1072" s="89"/>
      <c r="M1072" s="89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</row>
    <row r="1073" spans="1:51" x14ac:dyDescent="0.2">
      <c r="A1073" s="87"/>
      <c r="B1073" s="26"/>
      <c r="C1073" s="21"/>
      <c r="J1073" s="51"/>
      <c r="K1073" s="51"/>
      <c r="L1073" s="89"/>
      <c r="M1073" s="89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</row>
    <row r="1074" spans="1:51" x14ac:dyDescent="0.2">
      <c r="A1074" s="87"/>
      <c r="B1074" s="26"/>
      <c r="C1074" s="21"/>
      <c r="J1074" s="51"/>
      <c r="K1074" s="51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</row>
    <row r="1075" spans="1:51" x14ac:dyDescent="0.2">
      <c r="A1075" s="87"/>
      <c r="B1075" s="26"/>
      <c r="C1075" s="21"/>
      <c r="J1075" s="51"/>
      <c r="K1075" s="51"/>
      <c r="L1075" s="89"/>
      <c r="M1075" s="89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</row>
    <row r="1076" spans="1:51" x14ac:dyDescent="0.2">
      <c r="A1076" s="87"/>
      <c r="B1076" s="26"/>
      <c r="C1076" s="21"/>
      <c r="J1076" s="51"/>
      <c r="K1076" s="51"/>
      <c r="L1076" s="89"/>
      <c r="M1076" s="89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</row>
    <row r="1077" spans="1:51" x14ac:dyDescent="0.2">
      <c r="A1077" s="87"/>
      <c r="B1077" s="26"/>
      <c r="C1077" s="21"/>
      <c r="J1077" s="51"/>
      <c r="K1077" s="51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</row>
    <row r="1078" spans="1:51" x14ac:dyDescent="0.2">
      <c r="A1078" s="87"/>
      <c r="B1078" s="26"/>
      <c r="C1078" s="21"/>
      <c r="J1078" s="51"/>
      <c r="K1078" s="51"/>
      <c r="L1078" s="89"/>
      <c r="M1078" s="89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</row>
    <row r="1079" spans="1:51" x14ac:dyDescent="0.2">
      <c r="A1079" s="87"/>
      <c r="B1079" s="26"/>
      <c r="C1079" s="21"/>
      <c r="J1079" s="51"/>
      <c r="K1079" s="51"/>
      <c r="L1079" s="89"/>
      <c r="M1079" s="89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</row>
    <row r="1080" spans="1:51" x14ac:dyDescent="0.2">
      <c r="A1080" s="87"/>
      <c r="B1080" s="26"/>
      <c r="C1080" s="21"/>
      <c r="E1080" s="22"/>
      <c r="J1080" s="51"/>
      <c r="K1080" s="51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</row>
    <row r="1081" spans="1:51" x14ac:dyDescent="0.2">
      <c r="A1081" s="87"/>
      <c r="B1081" s="26"/>
      <c r="C1081" s="21"/>
      <c r="J1081" s="51"/>
      <c r="K1081" s="51"/>
      <c r="L1081" s="89"/>
      <c r="M1081" s="89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</row>
    <row r="1082" spans="1:51" x14ac:dyDescent="0.2">
      <c r="A1082" s="87"/>
      <c r="B1082" s="26"/>
      <c r="C1082" s="21"/>
      <c r="J1082" s="51"/>
      <c r="K1082" s="51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</row>
    <row r="1083" spans="1:51" x14ac:dyDescent="0.2">
      <c r="A1083" s="87"/>
      <c r="B1083" s="26"/>
      <c r="C1083" s="21"/>
      <c r="E1083" s="22"/>
      <c r="J1083" s="51"/>
      <c r="K1083" s="51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</row>
    <row r="1084" spans="1:51" x14ac:dyDescent="0.2">
      <c r="A1084" s="87"/>
      <c r="B1084" s="26"/>
      <c r="C1084" s="21"/>
      <c r="E1084" s="22"/>
      <c r="J1084" s="51"/>
      <c r="K1084" s="51"/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</row>
    <row r="1085" spans="1:51" x14ac:dyDescent="0.2">
      <c r="A1085" s="87"/>
      <c r="B1085" s="26"/>
      <c r="C1085" s="21"/>
      <c r="E1085" s="22"/>
      <c r="J1085" s="51"/>
      <c r="K1085" s="51"/>
      <c r="L1085" s="89"/>
      <c r="M1085" s="89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</row>
    <row r="1086" spans="1:51" x14ac:dyDescent="0.2">
      <c r="A1086" s="87"/>
      <c r="B1086" s="26"/>
      <c r="C1086" s="21"/>
      <c r="E1086" s="22"/>
      <c r="J1086" s="51"/>
      <c r="K1086" s="51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</row>
    <row r="1087" spans="1:51" x14ac:dyDescent="0.2">
      <c r="A1087" s="87"/>
      <c r="B1087" s="26"/>
      <c r="C1087" s="21"/>
      <c r="E1087" s="22"/>
      <c r="J1087" s="51"/>
      <c r="K1087" s="51"/>
      <c r="L1087" s="89"/>
      <c r="M1087" s="89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</row>
    <row r="1088" spans="1:51" x14ac:dyDescent="0.2">
      <c r="A1088" s="87"/>
      <c r="B1088" s="26"/>
      <c r="C1088" s="21"/>
      <c r="J1088" s="51"/>
      <c r="K1088" s="51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</row>
    <row r="1089" spans="1:51" x14ac:dyDescent="0.2">
      <c r="A1089" s="87"/>
      <c r="B1089" s="26"/>
      <c r="C1089" s="8"/>
      <c r="E1089" s="47"/>
      <c r="J1089" s="51"/>
      <c r="K1089" s="51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</row>
    <row r="1090" spans="1:51" x14ac:dyDescent="0.2">
      <c r="A1090" s="87"/>
      <c r="B1090" s="26"/>
      <c r="C1090" s="21"/>
      <c r="J1090" s="51"/>
      <c r="K1090" s="51"/>
      <c r="L1090" s="89"/>
      <c r="M1090" s="89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</row>
    <row r="1091" spans="1:51" x14ac:dyDescent="0.2">
      <c r="A1091" s="87"/>
      <c r="B1091" s="26"/>
      <c r="J1091" s="51"/>
      <c r="K1091" s="51"/>
      <c r="L1091" s="89"/>
      <c r="M1091" s="89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</row>
    <row r="1092" spans="1:51" x14ac:dyDescent="0.2">
      <c r="A1092" s="87"/>
      <c r="B1092" s="26"/>
      <c r="J1092" s="51"/>
      <c r="K1092" s="51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</row>
    <row r="1093" spans="1:51" x14ac:dyDescent="0.2">
      <c r="A1093" s="87"/>
      <c r="B1093" s="26"/>
      <c r="J1093" s="51"/>
      <c r="K1093" s="51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</row>
    <row r="1094" spans="1:51" x14ac:dyDescent="0.2">
      <c r="A1094" s="87"/>
      <c r="B1094" s="26"/>
      <c r="J1094" s="51"/>
      <c r="K1094" s="51"/>
      <c r="L1094" s="89"/>
      <c r="M1094" s="89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</row>
    <row r="1095" spans="1:51" x14ac:dyDescent="0.2">
      <c r="A1095" s="87"/>
      <c r="B1095" s="26"/>
      <c r="J1095" s="51"/>
      <c r="K1095" s="51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</row>
    <row r="1096" spans="1:51" x14ac:dyDescent="0.2">
      <c r="A1096" s="87"/>
      <c r="B1096" s="26"/>
      <c r="J1096" s="51"/>
      <c r="K1096" s="51"/>
      <c r="L1096" s="89"/>
      <c r="M1096" s="89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</row>
    <row r="1097" spans="1:51" x14ac:dyDescent="0.2">
      <c r="A1097" s="87"/>
      <c r="B1097" s="26"/>
      <c r="J1097" s="51"/>
      <c r="K1097" s="51"/>
      <c r="L1097" s="89"/>
      <c r="M1097" s="89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</row>
    <row r="1098" spans="1:51" x14ac:dyDescent="0.2">
      <c r="A1098" s="87"/>
      <c r="B1098" s="26"/>
      <c r="J1098" s="51"/>
      <c r="K1098" s="51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</row>
    <row r="1099" spans="1:51" x14ac:dyDescent="0.2">
      <c r="A1099" s="87"/>
      <c r="B1099" s="26"/>
      <c r="J1099" s="51"/>
      <c r="K1099" s="51"/>
      <c r="L1099" s="89"/>
      <c r="M1099" s="89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</row>
    <row r="1100" spans="1:51" x14ac:dyDescent="0.2">
      <c r="A1100" s="87"/>
      <c r="B1100" s="26"/>
      <c r="J1100" s="51"/>
      <c r="K1100" s="51"/>
      <c r="L1100" s="89"/>
      <c r="M1100" s="89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</row>
    <row r="1101" spans="1:51" x14ac:dyDescent="0.2">
      <c r="A1101" s="87"/>
      <c r="B1101" s="26"/>
      <c r="J1101" s="51"/>
      <c r="K1101" s="51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</row>
    <row r="1102" spans="1:51" x14ac:dyDescent="0.2">
      <c r="A1102" s="87"/>
      <c r="B1102" s="26"/>
      <c r="D1102" s="26"/>
      <c r="E1102" s="26"/>
      <c r="F1102" s="26"/>
      <c r="G1102" s="26"/>
      <c r="H1102" s="87"/>
      <c r="I1102" s="26"/>
      <c r="J1102" s="51"/>
      <c r="K1102" s="51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</row>
    <row r="1103" spans="1:51" x14ac:dyDescent="0.2">
      <c r="A1103" s="87"/>
      <c r="B1103" s="26"/>
      <c r="D1103" s="26"/>
      <c r="E1103" s="26"/>
      <c r="F1103" s="26"/>
      <c r="G1103" s="26"/>
      <c r="H1103" s="87"/>
      <c r="I1103" s="26"/>
      <c r="J1103" s="51"/>
      <c r="K1103" s="51"/>
      <c r="L1103" s="89"/>
      <c r="M1103" s="89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</row>
    <row r="1104" spans="1:51" x14ac:dyDescent="0.2">
      <c r="A1104" s="87"/>
      <c r="B1104" s="26"/>
      <c r="D1104" s="26"/>
      <c r="E1104" s="26"/>
      <c r="F1104" s="26"/>
      <c r="G1104" s="26"/>
      <c r="H1104" s="87"/>
      <c r="I1104" s="26"/>
      <c r="J1104" s="51"/>
      <c r="K1104" s="51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</row>
    <row r="1105" spans="1:51" x14ac:dyDescent="0.2">
      <c r="A1105" s="87"/>
      <c r="B1105" s="26"/>
      <c r="D1105" s="26"/>
      <c r="E1105" s="26"/>
      <c r="F1105" s="26"/>
      <c r="G1105" s="26"/>
      <c r="H1105" s="87"/>
      <c r="I1105" s="26"/>
      <c r="J1105" s="51"/>
      <c r="K1105" s="51"/>
      <c r="L1105" s="89"/>
      <c r="M1105" s="89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</row>
    <row r="1106" spans="1:51" x14ac:dyDescent="0.2">
      <c r="A1106" s="87"/>
      <c r="B1106" s="26"/>
      <c r="D1106" s="26"/>
      <c r="E1106" s="26"/>
      <c r="F1106" s="26"/>
      <c r="G1106" s="26"/>
      <c r="H1106" s="87"/>
      <c r="I1106" s="26"/>
      <c r="J1106" s="51"/>
      <c r="K1106" s="51"/>
      <c r="L1106" s="89"/>
      <c r="M1106" s="89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</row>
    <row r="1107" spans="1:51" x14ac:dyDescent="0.2">
      <c r="A1107" s="87"/>
      <c r="B1107" s="26"/>
      <c r="D1107" s="26"/>
      <c r="E1107" s="26"/>
      <c r="F1107" s="26"/>
      <c r="G1107" s="26"/>
      <c r="H1107" s="87"/>
      <c r="I1107" s="26"/>
      <c r="J1107" s="51"/>
      <c r="K1107" s="51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</row>
    <row r="1108" spans="1:51" x14ac:dyDescent="0.2">
      <c r="A1108" s="87"/>
      <c r="B1108" s="26"/>
      <c r="D1108" s="26"/>
      <c r="E1108" s="26"/>
      <c r="F1108" s="26"/>
      <c r="G1108" s="26"/>
      <c r="H1108" s="87"/>
      <c r="I1108" s="26"/>
      <c r="J1108" s="51"/>
      <c r="K1108" s="51"/>
      <c r="L1108" s="89"/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</row>
    <row r="1109" spans="1:51" x14ac:dyDescent="0.2">
      <c r="A1109" s="87"/>
      <c r="B1109" s="26"/>
      <c r="D1109" s="26"/>
      <c r="E1109" s="26"/>
      <c r="F1109" s="26"/>
      <c r="G1109" s="26"/>
      <c r="H1109" s="87"/>
      <c r="I1109" s="26"/>
      <c r="J1109" s="51"/>
      <c r="K1109" s="51"/>
      <c r="L1109" s="89"/>
      <c r="M1109" s="89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</row>
    <row r="1110" spans="1:51" x14ac:dyDescent="0.2">
      <c r="A1110" s="87"/>
      <c r="B1110" s="26"/>
      <c r="D1110" s="26"/>
      <c r="E1110" s="26"/>
      <c r="F1110" s="26"/>
      <c r="G1110" s="26"/>
      <c r="H1110" s="87"/>
      <c r="I1110" s="26"/>
      <c r="J1110" s="51"/>
      <c r="K1110" s="51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</row>
    <row r="1111" spans="1:51" x14ac:dyDescent="0.2">
      <c r="A1111" s="87"/>
      <c r="B1111" s="26"/>
      <c r="D1111" s="26"/>
      <c r="E1111" s="26"/>
      <c r="F1111" s="26"/>
      <c r="G1111" s="26"/>
      <c r="H1111" s="87"/>
      <c r="I1111" s="26"/>
      <c r="J1111" s="51"/>
      <c r="K1111" s="51"/>
      <c r="L1111" s="89"/>
      <c r="M1111" s="89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</row>
    <row r="1112" spans="1:51" x14ac:dyDescent="0.2">
      <c r="A1112" s="87"/>
      <c r="B1112" s="26"/>
      <c r="D1112" s="26"/>
      <c r="E1112" s="26"/>
      <c r="F1112" s="26"/>
      <c r="G1112" s="26"/>
      <c r="H1112" s="87"/>
      <c r="I1112" s="26"/>
      <c r="J1112" s="51"/>
      <c r="K1112" s="51"/>
      <c r="L1112" s="89"/>
      <c r="M1112" s="89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</row>
    <row r="1113" spans="1:51" x14ac:dyDescent="0.2">
      <c r="A1113" s="87"/>
      <c r="B1113" s="26"/>
      <c r="D1113" s="26"/>
      <c r="E1113" s="26"/>
      <c r="F1113" s="26"/>
      <c r="G1113" s="26"/>
      <c r="H1113" s="87"/>
      <c r="I1113" s="26"/>
      <c r="J1113" s="51"/>
      <c r="K1113" s="51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</row>
    <row r="1114" spans="1:51" x14ac:dyDescent="0.2">
      <c r="A1114" s="87"/>
      <c r="B1114" s="26"/>
      <c r="D1114" s="26"/>
      <c r="E1114" s="26"/>
      <c r="F1114" s="26"/>
      <c r="G1114" s="26"/>
      <c r="H1114" s="87"/>
      <c r="I1114" s="26"/>
      <c r="J1114" s="51"/>
      <c r="K1114" s="51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</row>
    <row r="1115" spans="1:51" x14ac:dyDescent="0.2">
      <c r="A1115" s="87"/>
      <c r="B1115" s="26"/>
      <c r="D1115" s="26"/>
      <c r="E1115" s="26"/>
      <c r="F1115" s="26"/>
      <c r="G1115" s="26"/>
      <c r="H1115" s="87"/>
      <c r="I1115" s="26"/>
      <c r="J1115" s="51"/>
      <c r="K1115" s="51"/>
      <c r="L1115" s="89"/>
      <c r="M1115" s="89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</row>
    <row r="1116" spans="1:51" x14ac:dyDescent="0.2">
      <c r="A1116" s="87"/>
      <c r="B1116" s="26"/>
      <c r="D1116" s="26"/>
      <c r="E1116" s="26"/>
      <c r="F1116" s="26"/>
      <c r="G1116" s="26"/>
      <c r="H1116" s="87"/>
      <c r="I1116" s="26"/>
      <c r="J1116" s="51"/>
      <c r="K1116" s="51"/>
      <c r="L1116" s="89"/>
      <c r="M1116" s="89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</row>
    <row r="1117" spans="1:51" x14ac:dyDescent="0.2">
      <c r="A1117" s="87"/>
      <c r="B1117" s="26"/>
      <c r="D1117" s="26"/>
      <c r="E1117" s="26"/>
      <c r="F1117" s="26"/>
      <c r="G1117" s="26"/>
      <c r="H1117" s="87"/>
      <c r="I1117" s="26"/>
      <c r="J1117" s="51"/>
      <c r="K1117" s="51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</row>
    <row r="1118" spans="1:51" x14ac:dyDescent="0.2">
      <c r="A1118" s="87"/>
      <c r="B1118" s="26"/>
      <c r="D1118" s="26"/>
      <c r="E1118" s="26"/>
      <c r="F1118" s="26"/>
      <c r="G1118" s="26"/>
      <c r="H1118" s="87"/>
      <c r="I1118" s="26"/>
      <c r="J1118" s="51"/>
      <c r="K1118" s="51"/>
      <c r="L1118" s="89"/>
      <c r="M1118" s="89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</row>
    <row r="1119" spans="1:51" x14ac:dyDescent="0.2">
      <c r="A1119" s="87"/>
      <c r="B1119" s="26"/>
      <c r="D1119" s="26"/>
      <c r="E1119" s="26"/>
      <c r="F1119" s="26"/>
      <c r="G1119" s="26"/>
      <c r="H1119" s="87"/>
      <c r="I1119" s="26"/>
      <c r="J1119" s="51"/>
      <c r="K1119" s="51"/>
      <c r="L1119" s="89"/>
      <c r="M1119" s="89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</row>
    <row r="1120" spans="1:51" x14ac:dyDescent="0.2">
      <c r="A1120" s="87"/>
      <c r="B1120" s="26"/>
      <c r="D1120" s="26"/>
      <c r="E1120" s="26"/>
      <c r="F1120" s="26"/>
      <c r="G1120" s="26"/>
      <c r="H1120" s="87"/>
      <c r="I1120" s="26"/>
      <c r="J1120" s="51"/>
      <c r="K1120" s="51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</row>
    <row r="1121" spans="1:51" x14ac:dyDescent="0.2">
      <c r="A1121" s="87"/>
      <c r="B1121" s="26"/>
      <c r="D1121" s="26"/>
      <c r="E1121" s="26"/>
      <c r="F1121" s="26"/>
      <c r="G1121" s="26"/>
      <c r="H1121" s="87"/>
      <c r="I1121" s="26"/>
      <c r="J1121" s="51"/>
      <c r="K1121" s="51"/>
      <c r="L1121" s="89"/>
      <c r="M1121" s="89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</row>
    <row r="1122" spans="1:51" x14ac:dyDescent="0.2">
      <c r="A1122" s="87"/>
      <c r="B1122" s="26"/>
      <c r="D1122" s="26"/>
      <c r="E1122" s="26"/>
      <c r="F1122" s="26"/>
      <c r="G1122" s="26"/>
      <c r="H1122" s="87"/>
      <c r="I1122" s="26"/>
      <c r="J1122" s="51"/>
      <c r="K1122" s="51"/>
      <c r="L1122" s="89"/>
      <c r="M1122" s="89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</row>
    <row r="1123" spans="1:51" x14ac:dyDescent="0.2">
      <c r="A1123" s="87"/>
      <c r="B1123" s="26"/>
      <c r="D1123" s="26"/>
      <c r="E1123" s="26"/>
      <c r="F1123" s="26"/>
      <c r="G1123" s="26"/>
      <c r="H1123" s="87"/>
      <c r="I1123" s="26"/>
      <c r="J1123" s="51"/>
      <c r="K1123" s="51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</row>
    <row r="1124" spans="1:51" x14ac:dyDescent="0.2">
      <c r="A1124" s="87"/>
      <c r="B1124" s="26"/>
      <c r="D1124" s="26"/>
      <c r="E1124" s="26"/>
      <c r="F1124" s="26"/>
      <c r="G1124" s="26"/>
      <c r="H1124" s="87"/>
      <c r="I1124" s="26"/>
      <c r="J1124" s="51"/>
      <c r="K1124" s="51"/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</row>
    <row r="1125" spans="1:51" x14ac:dyDescent="0.2">
      <c r="A1125" s="87"/>
      <c r="B1125" s="26"/>
      <c r="D1125" s="26"/>
      <c r="E1125" s="26"/>
      <c r="F1125" s="26"/>
      <c r="G1125" s="26"/>
      <c r="H1125" s="87"/>
      <c r="I1125" s="26"/>
      <c r="J1125" s="51"/>
      <c r="K1125" s="51"/>
      <c r="L1125" s="89"/>
      <c r="M1125" s="89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</row>
    <row r="1126" spans="1:51" x14ac:dyDescent="0.2">
      <c r="A1126" s="87"/>
      <c r="B1126" s="26"/>
      <c r="D1126" s="26"/>
      <c r="E1126" s="26"/>
      <c r="F1126" s="26"/>
      <c r="G1126" s="26"/>
      <c r="H1126" s="87"/>
      <c r="I1126" s="26"/>
      <c r="J1126" s="51"/>
      <c r="K1126" s="51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</row>
    <row r="1127" spans="1:51" x14ac:dyDescent="0.2">
      <c r="A1127" s="87"/>
      <c r="B1127" s="26"/>
      <c r="D1127" s="26"/>
      <c r="E1127" s="26"/>
      <c r="F1127" s="26"/>
      <c r="G1127" s="26"/>
      <c r="H1127" s="87"/>
      <c r="I1127" s="26"/>
      <c r="J1127" s="51"/>
      <c r="K1127" s="51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</row>
    <row r="1128" spans="1:51" x14ac:dyDescent="0.2">
      <c r="A1128" s="87"/>
      <c r="B1128" s="26"/>
      <c r="D1128" s="26"/>
      <c r="E1128" s="26"/>
      <c r="F1128" s="26"/>
      <c r="G1128" s="26"/>
      <c r="H1128" s="87"/>
      <c r="I1128" s="26"/>
      <c r="J1128" s="51"/>
      <c r="K1128" s="51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</row>
    <row r="1129" spans="1:51" x14ac:dyDescent="0.2">
      <c r="A1129" s="87"/>
      <c r="B1129" s="26"/>
      <c r="D1129" s="26"/>
      <c r="E1129" s="26"/>
      <c r="F1129" s="26"/>
      <c r="G1129" s="26"/>
      <c r="H1129" s="87"/>
      <c r="I1129" s="26"/>
      <c r="J1129" s="51"/>
      <c r="K1129" s="51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</row>
    <row r="1130" spans="1:51" x14ac:dyDescent="0.2">
      <c r="A1130" s="87"/>
      <c r="B1130" s="26"/>
      <c r="D1130" s="26"/>
      <c r="E1130" s="26"/>
      <c r="F1130" s="26"/>
      <c r="G1130" s="26"/>
      <c r="H1130" s="87"/>
      <c r="I1130" s="26"/>
      <c r="J1130" s="51"/>
      <c r="K1130" s="51"/>
      <c r="L1130" s="89"/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</row>
    <row r="1131" spans="1:51" x14ac:dyDescent="0.2">
      <c r="A1131" s="87"/>
      <c r="B1131" s="26"/>
      <c r="D1131" s="26"/>
      <c r="E1131" s="26"/>
      <c r="F1131" s="26"/>
      <c r="G1131" s="26"/>
      <c r="H1131" s="87"/>
      <c r="I1131" s="26"/>
      <c r="J1131" s="51"/>
      <c r="K1131" s="51"/>
      <c r="L1131" s="89"/>
      <c r="M1131" s="89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</row>
    <row r="1132" spans="1:51" x14ac:dyDescent="0.2">
      <c r="A1132" s="87"/>
      <c r="B1132" s="26"/>
      <c r="D1132" s="26"/>
      <c r="E1132" s="26"/>
      <c r="F1132" s="26"/>
      <c r="G1132" s="26"/>
      <c r="H1132" s="87"/>
      <c r="I1132" s="26"/>
      <c r="J1132" s="51"/>
      <c r="K1132" s="51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</row>
    <row r="1133" spans="1:51" x14ac:dyDescent="0.2">
      <c r="A1133" s="87"/>
      <c r="B1133" s="26"/>
      <c r="D1133" s="26"/>
      <c r="E1133" s="26"/>
      <c r="F1133" s="26"/>
      <c r="G1133" s="26"/>
      <c r="H1133" s="87"/>
      <c r="I1133" s="26"/>
      <c r="J1133" s="51"/>
      <c r="K1133" s="51"/>
      <c r="L1133" s="89"/>
      <c r="M1133" s="89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</row>
    <row r="1134" spans="1:51" x14ac:dyDescent="0.2">
      <c r="A1134" s="87"/>
      <c r="B1134" s="26"/>
      <c r="D1134" s="26"/>
      <c r="E1134" s="26"/>
      <c r="F1134" s="26"/>
      <c r="G1134" s="26"/>
      <c r="H1134" s="87"/>
      <c r="I1134" s="26"/>
      <c r="J1134" s="51"/>
      <c r="K1134" s="51"/>
      <c r="L1134" s="89"/>
      <c r="M1134" s="89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</row>
    <row r="1135" spans="1:51" x14ac:dyDescent="0.2">
      <c r="A1135" s="87"/>
      <c r="B1135" s="26"/>
      <c r="D1135" s="26"/>
      <c r="E1135" s="26"/>
      <c r="F1135" s="26"/>
      <c r="G1135" s="26"/>
      <c r="H1135" s="87"/>
      <c r="I1135" s="26"/>
      <c r="J1135" s="51"/>
      <c r="K1135" s="51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</row>
    <row r="1136" spans="1:51" x14ac:dyDescent="0.2">
      <c r="A1136" s="87"/>
      <c r="B1136" s="26"/>
      <c r="D1136" s="26"/>
      <c r="E1136" s="26"/>
      <c r="F1136" s="26"/>
      <c r="G1136" s="26"/>
      <c r="H1136" s="87"/>
      <c r="I1136" s="26"/>
      <c r="J1136" s="51"/>
      <c r="K1136" s="51"/>
      <c r="L1136" s="89"/>
      <c r="M1136" s="89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</row>
    <row r="1137" spans="1:51" x14ac:dyDescent="0.2">
      <c r="A1137" s="87"/>
      <c r="B1137" s="26"/>
      <c r="D1137" s="26"/>
      <c r="E1137" s="26"/>
      <c r="F1137" s="26"/>
      <c r="G1137" s="26"/>
      <c r="H1137" s="87"/>
      <c r="I1137" s="26"/>
      <c r="J1137" s="51"/>
      <c r="K1137" s="51"/>
      <c r="L1137" s="89"/>
      <c r="M1137" s="89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</row>
    <row r="1138" spans="1:51" x14ac:dyDescent="0.2">
      <c r="A1138" s="87"/>
      <c r="B1138" s="26"/>
      <c r="D1138" s="26"/>
      <c r="E1138" s="26"/>
      <c r="F1138" s="26"/>
      <c r="G1138" s="26"/>
      <c r="H1138" s="87"/>
      <c r="I1138" s="26"/>
      <c r="J1138" s="51"/>
      <c r="K1138" s="51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</row>
    <row r="1139" spans="1:51" x14ac:dyDescent="0.2">
      <c r="A1139" s="87"/>
      <c r="B1139" s="26"/>
      <c r="D1139" s="26"/>
      <c r="E1139" s="26"/>
      <c r="F1139" s="26"/>
      <c r="G1139" s="26"/>
      <c r="H1139" s="87"/>
      <c r="I1139" s="26"/>
      <c r="J1139" s="51"/>
      <c r="K1139" s="51"/>
      <c r="L1139" s="89"/>
      <c r="M1139" s="89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</row>
    <row r="1140" spans="1:51" x14ac:dyDescent="0.2">
      <c r="A1140" s="87"/>
      <c r="B1140" s="26"/>
      <c r="D1140" s="26"/>
      <c r="E1140" s="26"/>
      <c r="F1140" s="26"/>
      <c r="G1140" s="26"/>
      <c r="H1140" s="87"/>
      <c r="I1140" s="26"/>
      <c r="J1140" s="51"/>
      <c r="K1140" s="51"/>
      <c r="L1140" s="89"/>
      <c r="M1140" s="89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</row>
    <row r="1141" spans="1:51" x14ac:dyDescent="0.2">
      <c r="A1141" s="87"/>
      <c r="B1141" s="26"/>
      <c r="D1141" s="26"/>
      <c r="E1141" s="26"/>
      <c r="F1141" s="26"/>
      <c r="G1141" s="26"/>
      <c r="H1141" s="87"/>
      <c r="I1141" s="26"/>
      <c r="J1141" s="51"/>
      <c r="K1141" s="51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</row>
    <row r="1142" spans="1:51" x14ac:dyDescent="0.2">
      <c r="A1142" s="87"/>
      <c r="B1142" s="26"/>
      <c r="D1142" s="26"/>
      <c r="E1142" s="26"/>
      <c r="F1142" s="26"/>
      <c r="G1142" s="26"/>
      <c r="H1142" s="87"/>
      <c r="I1142" s="26"/>
      <c r="J1142" s="51"/>
      <c r="K1142" s="51"/>
      <c r="L1142" s="89"/>
      <c r="M1142" s="89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</row>
    <row r="1143" spans="1:51" x14ac:dyDescent="0.2">
      <c r="A1143" s="87"/>
      <c r="B1143" s="26"/>
      <c r="D1143" s="26"/>
      <c r="E1143" s="26"/>
      <c r="F1143" s="26"/>
      <c r="G1143" s="26"/>
      <c r="H1143" s="87"/>
      <c r="I1143" s="26"/>
      <c r="J1143" s="51"/>
      <c r="K1143" s="51"/>
      <c r="L1143" s="89"/>
      <c r="M1143" s="89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</row>
    <row r="1144" spans="1:51" x14ac:dyDescent="0.2">
      <c r="A1144" s="87"/>
      <c r="B1144" s="26"/>
      <c r="D1144" s="26"/>
      <c r="E1144" s="26"/>
      <c r="F1144" s="26"/>
      <c r="G1144" s="26"/>
      <c r="H1144" s="87"/>
      <c r="I1144" s="26"/>
      <c r="J1144" s="51"/>
      <c r="K1144" s="51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</row>
    <row r="1145" spans="1:51" x14ac:dyDescent="0.2">
      <c r="A1145" s="87"/>
      <c r="B1145" s="26"/>
      <c r="D1145" s="26"/>
      <c r="E1145" s="26"/>
      <c r="F1145" s="26"/>
      <c r="G1145" s="26"/>
      <c r="H1145" s="87"/>
      <c r="I1145" s="26"/>
      <c r="J1145" s="51"/>
      <c r="K1145" s="51"/>
      <c r="L1145" s="89"/>
      <c r="M1145" s="89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</row>
    <row r="1146" spans="1:51" x14ac:dyDescent="0.2">
      <c r="A1146" s="87"/>
      <c r="B1146" s="26"/>
      <c r="D1146" s="26"/>
      <c r="E1146" s="26"/>
      <c r="F1146" s="26"/>
      <c r="G1146" s="26"/>
      <c r="H1146" s="87"/>
      <c r="I1146" s="26"/>
      <c r="J1146" s="51"/>
      <c r="K1146" s="51"/>
      <c r="L1146" s="89"/>
      <c r="M1146" s="89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</row>
    <row r="1147" spans="1:51" x14ac:dyDescent="0.2">
      <c r="A1147" s="87"/>
      <c r="B1147" s="26"/>
      <c r="D1147" s="26"/>
      <c r="E1147" s="26"/>
      <c r="F1147" s="26"/>
      <c r="G1147" s="26"/>
      <c r="H1147" s="87"/>
      <c r="I1147" s="26"/>
      <c r="J1147" s="51"/>
      <c r="K1147" s="51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</row>
    <row r="1148" spans="1:51" x14ac:dyDescent="0.2">
      <c r="A1148" s="87"/>
      <c r="B1148" s="26"/>
      <c r="D1148" s="26"/>
      <c r="E1148" s="26"/>
      <c r="F1148" s="26"/>
      <c r="G1148" s="26"/>
      <c r="H1148" s="87"/>
      <c r="I1148" s="26"/>
      <c r="J1148" s="51"/>
      <c r="K1148" s="51"/>
      <c r="L1148" s="89"/>
      <c r="M1148" s="89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</row>
    <row r="1149" spans="1:51" x14ac:dyDescent="0.2">
      <c r="A1149" s="87"/>
      <c r="B1149" s="26"/>
      <c r="D1149" s="26"/>
      <c r="E1149" s="26"/>
      <c r="F1149" s="26"/>
      <c r="G1149" s="26"/>
      <c r="H1149" s="87"/>
      <c r="I1149" s="26"/>
      <c r="J1149" s="51"/>
      <c r="K1149" s="51"/>
      <c r="L1149" s="89"/>
      <c r="M1149" s="89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</row>
    <row r="1150" spans="1:51" x14ac:dyDescent="0.2">
      <c r="A1150" s="87"/>
      <c r="B1150" s="26"/>
      <c r="D1150" s="26"/>
      <c r="E1150" s="26"/>
      <c r="F1150" s="26"/>
      <c r="G1150" s="26"/>
      <c r="H1150" s="87"/>
      <c r="I1150" s="26"/>
      <c r="J1150" s="51"/>
      <c r="K1150" s="51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</row>
    <row r="1151" spans="1:51" x14ac:dyDescent="0.2">
      <c r="A1151" s="87"/>
      <c r="B1151" s="26"/>
      <c r="D1151" s="26"/>
      <c r="E1151" s="26"/>
      <c r="F1151" s="26"/>
      <c r="G1151" s="26"/>
      <c r="H1151" s="87"/>
      <c r="I1151" s="26"/>
      <c r="J1151" s="51"/>
      <c r="K1151" s="51"/>
      <c r="L1151" s="89"/>
      <c r="M1151" s="89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</row>
    <row r="1152" spans="1:51" x14ac:dyDescent="0.2">
      <c r="A1152" s="87"/>
      <c r="B1152" s="26"/>
      <c r="D1152" s="26"/>
      <c r="E1152" s="26"/>
      <c r="F1152" s="26"/>
      <c r="G1152" s="26"/>
      <c r="H1152" s="87"/>
      <c r="I1152" s="26"/>
      <c r="J1152" s="51"/>
      <c r="K1152" s="51"/>
      <c r="L1152" s="89"/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</row>
    <row r="1153" spans="1:51" x14ac:dyDescent="0.2">
      <c r="A1153" s="87"/>
      <c r="B1153" s="26"/>
      <c r="D1153" s="26"/>
      <c r="E1153" s="26"/>
      <c r="F1153" s="26"/>
      <c r="G1153" s="26"/>
      <c r="H1153" s="87"/>
      <c r="I1153" s="26"/>
      <c r="J1153" s="51"/>
      <c r="K1153" s="51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</row>
    <row r="1154" spans="1:51" x14ac:dyDescent="0.2">
      <c r="A1154" s="87"/>
      <c r="B1154" s="26"/>
      <c r="D1154" s="26"/>
      <c r="E1154" s="26"/>
      <c r="F1154" s="26"/>
      <c r="G1154" s="26"/>
      <c r="H1154" s="87"/>
      <c r="I1154" s="26"/>
      <c r="J1154" s="51"/>
      <c r="K1154" s="51"/>
      <c r="L1154" s="89"/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</row>
    <row r="1155" spans="1:51" x14ac:dyDescent="0.2">
      <c r="A1155" s="87"/>
      <c r="B1155" s="26"/>
      <c r="D1155" s="26"/>
      <c r="E1155" s="26"/>
      <c r="F1155" s="26"/>
      <c r="G1155" s="26"/>
      <c r="H1155" s="87"/>
      <c r="I1155" s="26"/>
      <c r="J1155" s="51"/>
      <c r="K1155" s="51"/>
      <c r="L1155" s="89"/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</row>
    <row r="1156" spans="1:51" x14ac:dyDescent="0.2">
      <c r="A1156" s="87"/>
      <c r="B1156" s="26"/>
      <c r="D1156" s="26"/>
      <c r="E1156" s="26"/>
      <c r="F1156" s="26"/>
      <c r="G1156" s="26"/>
      <c r="H1156" s="87"/>
      <c r="I1156" s="26"/>
      <c r="J1156" s="51"/>
      <c r="K1156" s="51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</row>
    <row r="1157" spans="1:51" x14ac:dyDescent="0.2">
      <c r="A1157" s="87"/>
      <c r="B1157" s="26"/>
      <c r="D1157" s="26"/>
      <c r="E1157" s="26"/>
      <c r="F1157" s="26"/>
      <c r="G1157" s="26"/>
      <c r="H1157" s="87"/>
      <c r="I1157" s="26"/>
      <c r="J1157" s="51"/>
      <c r="K1157" s="51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</row>
    <row r="1158" spans="1:51" x14ac:dyDescent="0.2">
      <c r="A1158" s="87"/>
      <c r="B1158" s="26"/>
      <c r="D1158" s="26"/>
      <c r="E1158" s="26"/>
      <c r="F1158" s="26"/>
      <c r="G1158" s="26"/>
      <c r="H1158" s="87"/>
      <c r="I1158" s="26"/>
      <c r="J1158" s="51"/>
      <c r="K1158" s="51"/>
      <c r="L1158" s="89"/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</row>
    <row r="1159" spans="1:51" x14ac:dyDescent="0.2">
      <c r="A1159" s="87"/>
      <c r="B1159" s="26"/>
      <c r="D1159" s="26"/>
      <c r="E1159" s="26"/>
      <c r="F1159" s="26"/>
      <c r="G1159" s="26"/>
      <c r="H1159" s="87"/>
      <c r="I1159" s="26"/>
      <c r="J1159" s="51"/>
      <c r="K1159" s="51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</row>
    <row r="1160" spans="1:51" x14ac:dyDescent="0.2">
      <c r="A1160" s="87"/>
      <c r="B1160" s="26"/>
      <c r="D1160" s="26"/>
      <c r="E1160" s="26"/>
      <c r="F1160" s="26"/>
      <c r="G1160" s="26"/>
      <c r="H1160" s="87"/>
      <c r="I1160" s="26"/>
      <c r="J1160" s="51"/>
      <c r="K1160" s="51"/>
      <c r="L1160" s="89"/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</row>
    <row r="1161" spans="1:51" x14ac:dyDescent="0.2">
      <c r="A1161" s="87"/>
      <c r="B1161" s="26"/>
      <c r="D1161" s="26"/>
      <c r="E1161" s="26"/>
      <c r="F1161" s="26"/>
      <c r="G1161" s="26"/>
      <c r="H1161" s="87"/>
      <c r="I1161" s="26"/>
      <c r="J1161" s="51"/>
      <c r="K1161" s="51"/>
      <c r="L1161" s="89"/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</row>
    <row r="1162" spans="1:51" x14ac:dyDescent="0.2">
      <c r="A1162" s="87"/>
      <c r="B1162" s="26"/>
      <c r="D1162" s="26"/>
      <c r="E1162" s="26"/>
      <c r="F1162" s="26"/>
      <c r="G1162" s="26"/>
      <c r="H1162" s="87"/>
      <c r="I1162" s="26"/>
      <c r="J1162" s="51"/>
      <c r="K1162" s="51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</row>
    <row r="1163" spans="1:51" x14ac:dyDescent="0.2">
      <c r="A1163" s="87"/>
      <c r="B1163" s="26"/>
      <c r="D1163" s="26"/>
      <c r="E1163" s="26"/>
      <c r="F1163" s="26"/>
      <c r="G1163" s="26"/>
      <c r="H1163" s="87"/>
      <c r="I1163" s="26"/>
      <c r="J1163" s="51"/>
      <c r="K1163" s="51"/>
      <c r="L1163" s="89"/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</row>
    <row r="1164" spans="1:51" x14ac:dyDescent="0.2">
      <c r="A1164" s="87"/>
      <c r="B1164" s="26"/>
      <c r="D1164" s="26"/>
      <c r="E1164" s="26"/>
      <c r="F1164" s="26"/>
      <c r="G1164" s="26"/>
      <c r="H1164" s="87"/>
      <c r="I1164" s="26"/>
      <c r="J1164" s="51"/>
      <c r="K1164" s="51"/>
      <c r="L1164" s="89"/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</row>
    <row r="1165" spans="1:51" x14ac:dyDescent="0.2">
      <c r="A1165" s="87"/>
      <c r="B1165" s="26"/>
      <c r="D1165" s="26"/>
      <c r="E1165" s="26"/>
      <c r="F1165" s="26"/>
      <c r="G1165" s="26"/>
      <c r="H1165" s="87"/>
      <c r="I1165" s="26"/>
      <c r="J1165" s="51"/>
      <c r="K1165" s="51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89"/>
      <c r="AX1165" s="89"/>
      <c r="AY1165" s="89"/>
    </row>
    <row r="1166" spans="1:51" x14ac:dyDescent="0.2">
      <c r="A1166" s="87"/>
      <c r="B1166" s="26"/>
      <c r="D1166" s="26"/>
      <c r="E1166" s="26"/>
      <c r="F1166" s="26"/>
      <c r="G1166" s="26"/>
      <c r="H1166" s="87"/>
      <c r="I1166" s="26"/>
      <c r="J1166" s="51"/>
      <c r="K1166" s="51"/>
      <c r="L1166" s="89"/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  <c r="AW1166" s="89"/>
      <c r="AX1166" s="89"/>
      <c r="AY1166" s="89"/>
    </row>
    <row r="1167" spans="1:51" x14ac:dyDescent="0.2">
      <c r="A1167" s="87"/>
      <c r="B1167" s="26"/>
      <c r="D1167" s="26"/>
      <c r="E1167" s="26"/>
      <c r="F1167" s="26"/>
      <c r="G1167" s="26"/>
      <c r="H1167" s="87"/>
      <c r="I1167" s="26"/>
      <c r="J1167" s="51"/>
      <c r="K1167" s="51"/>
      <c r="L1167" s="89"/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89"/>
      <c r="AX1167" s="89"/>
      <c r="AY1167" s="89"/>
    </row>
    <row r="1168" spans="1:51" x14ac:dyDescent="0.2">
      <c r="A1168" s="87"/>
      <c r="B1168" s="26"/>
      <c r="D1168" s="26"/>
      <c r="E1168" s="26"/>
      <c r="F1168" s="26"/>
      <c r="G1168" s="26"/>
      <c r="H1168" s="87"/>
      <c r="I1168" s="26"/>
      <c r="J1168" s="51"/>
      <c r="K1168" s="51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89"/>
      <c r="AX1168" s="89"/>
      <c r="AY1168" s="89"/>
    </row>
    <row r="1169" spans="1:51" x14ac:dyDescent="0.2">
      <c r="A1169" s="87"/>
      <c r="B1169" s="26"/>
      <c r="D1169" s="26"/>
      <c r="E1169" s="26"/>
      <c r="F1169" s="26"/>
      <c r="G1169" s="26"/>
      <c r="H1169" s="87"/>
      <c r="I1169" s="26"/>
      <c r="J1169" s="51"/>
      <c r="K1169" s="51"/>
      <c r="L1169" s="89"/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</row>
    <row r="1170" spans="1:51" x14ac:dyDescent="0.2">
      <c r="A1170" s="87"/>
      <c r="B1170" s="26"/>
      <c r="D1170" s="26"/>
      <c r="E1170" s="26"/>
      <c r="F1170" s="26"/>
      <c r="G1170" s="26"/>
      <c r="H1170" s="87"/>
      <c r="I1170" s="26"/>
      <c r="J1170" s="51"/>
      <c r="K1170" s="51"/>
      <c r="L1170" s="89"/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  <c r="AW1170" s="89"/>
      <c r="AX1170" s="89"/>
      <c r="AY1170" s="89"/>
    </row>
    <row r="1171" spans="1:51" x14ac:dyDescent="0.2">
      <c r="A1171" s="87"/>
      <c r="B1171" s="26"/>
      <c r="D1171" s="26"/>
      <c r="E1171" s="26"/>
      <c r="F1171" s="26"/>
      <c r="G1171" s="26"/>
      <c r="H1171" s="87"/>
      <c r="I1171" s="26"/>
      <c r="J1171" s="51"/>
      <c r="K1171" s="51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  <c r="AW1171" s="89"/>
      <c r="AX1171" s="89"/>
      <c r="AY1171" s="89"/>
    </row>
    <row r="1172" spans="1:51" x14ac:dyDescent="0.2">
      <c r="A1172" s="87"/>
      <c r="B1172" s="26"/>
      <c r="D1172" s="26"/>
      <c r="E1172" s="26"/>
      <c r="F1172" s="26"/>
      <c r="G1172" s="26"/>
      <c r="H1172" s="87"/>
      <c r="I1172" s="26"/>
      <c r="J1172" s="51"/>
      <c r="K1172" s="51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  <c r="AW1172" s="89"/>
      <c r="AX1172" s="89"/>
      <c r="AY1172" s="89"/>
    </row>
    <row r="1173" spans="1:51" x14ac:dyDescent="0.2">
      <c r="A1173" s="87"/>
      <c r="B1173" s="26"/>
      <c r="D1173" s="26"/>
      <c r="E1173" s="26"/>
      <c r="F1173" s="26"/>
      <c r="G1173" s="26"/>
      <c r="H1173" s="87"/>
      <c r="I1173" s="26"/>
      <c r="J1173" s="51"/>
      <c r="K1173" s="51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  <c r="AW1173" s="89"/>
      <c r="AX1173" s="89"/>
      <c r="AY1173" s="89"/>
    </row>
    <row r="1174" spans="1:51" x14ac:dyDescent="0.2">
      <c r="A1174" s="87"/>
      <c r="B1174" s="26"/>
      <c r="D1174" s="26"/>
      <c r="E1174" s="26"/>
      <c r="F1174" s="26"/>
      <c r="G1174" s="26"/>
      <c r="H1174" s="87"/>
      <c r="I1174" s="26"/>
      <c r="J1174" s="51"/>
      <c r="K1174" s="51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  <c r="AW1174" s="89"/>
      <c r="AX1174" s="89"/>
      <c r="AY1174" s="89"/>
    </row>
    <row r="1175" spans="1:51" x14ac:dyDescent="0.2">
      <c r="A1175" s="87"/>
      <c r="B1175" s="26"/>
      <c r="D1175" s="26"/>
      <c r="E1175" s="26"/>
      <c r="F1175" s="26"/>
      <c r="G1175" s="26"/>
      <c r="H1175" s="87"/>
      <c r="I1175" s="26"/>
      <c r="J1175" s="51"/>
      <c r="K1175" s="51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89"/>
      <c r="AX1175" s="89"/>
      <c r="AY1175" s="89"/>
    </row>
    <row r="1176" spans="1:51" x14ac:dyDescent="0.2">
      <c r="A1176" s="87"/>
      <c r="B1176" s="26"/>
      <c r="D1176" s="26"/>
      <c r="E1176" s="26"/>
      <c r="F1176" s="26"/>
      <c r="G1176" s="26"/>
      <c r="H1176" s="87"/>
      <c r="I1176" s="26"/>
      <c r="J1176" s="51"/>
      <c r="K1176" s="51"/>
      <c r="L1176" s="89"/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</row>
    <row r="1177" spans="1:51" x14ac:dyDescent="0.2">
      <c r="A1177" s="87"/>
      <c r="B1177" s="26"/>
      <c r="D1177" s="26"/>
      <c r="E1177" s="26"/>
      <c r="F1177" s="26"/>
      <c r="G1177" s="26"/>
      <c r="H1177" s="87"/>
      <c r="I1177" s="26"/>
      <c r="J1177" s="51"/>
      <c r="K1177" s="51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  <c r="AW1177" s="89"/>
      <c r="AX1177" s="89"/>
      <c r="AY1177" s="89"/>
    </row>
    <row r="1178" spans="1:51" x14ac:dyDescent="0.2">
      <c r="A1178" s="87"/>
      <c r="B1178" s="26"/>
      <c r="D1178" s="26"/>
      <c r="E1178" s="26"/>
      <c r="F1178" s="26"/>
      <c r="G1178" s="26"/>
      <c r="H1178" s="87"/>
      <c r="I1178" s="26"/>
      <c r="J1178" s="51"/>
      <c r="K1178" s="51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89"/>
      <c r="AX1178" s="89"/>
      <c r="AY1178" s="89"/>
    </row>
    <row r="1179" spans="1:51" x14ac:dyDescent="0.2">
      <c r="A1179" s="87"/>
      <c r="B1179" s="26"/>
      <c r="D1179" s="26"/>
      <c r="E1179" s="26"/>
      <c r="F1179" s="26"/>
      <c r="G1179" s="26"/>
      <c r="H1179" s="87"/>
      <c r="I1179" s="26"/>
      <c r="J1179" s="51"/>
      <c r="K1179" s="51"/>
      <c r="L1179" s="89"/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89"/>
      <c r="AX1179" s="89"/>
      <c r="AY1179" s="89"/>
    </row>
    <row r="1180" spans="1:51" x14ac:dyDescent="0.2">
      <c r="A1180" s="87"/>
      <c r="B1180" s="26"/>
      <c r="D1180" s="26"/>
      <c r="E1180" s="26"/>
      <c r="F1180" s="26"/>
      <c r="G1180" s="26"/>
      <c r="H1180" s="87"/>
      <c r="I1180" s="26"/>
      <c r="J1180" s="51"/>
      <c r="K1180" s="51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  <c r="AW1180" s="89"/>
      <c r="AX1180" s="89"/>
      <c r="AY1180" s="89"/>
    </row>
    <row r="1181" spans="1:51" x14ac:dyDescent="0.2">
      <c r="A1181" s="87"/>
      <c r="B1181" s="26"/>
      <c r="D1181" s="26"/>
      <c r="E1181" s="26"/>
      <c r="F1181" s="26"/>
      <c r="G1181" s="26"/>
      <c r="H1181" s="87"/>
      <c r="I1181" s="26"/>
      <c r="J1181" s="51"/>
      <c r="K1181" s="51"/>
      <c r="L1181" s="89"/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  <c r="AW1181" s="89"/>
      <c r="AX1181" s="89"/>
      <c r="AY1181" s="89"/>
    </row>
    <row r="1182" spans="1:51" x14ac:dyDescent="0.2">
      <c r="A1182" s="87"/>
      <c r="B1182" s="26"/>
      <c r="D1182" s="26"/>
      <c r="E1182" s="26"/>
      <c r="F1182" s="26"/>
      <c r="G1182" s="26"/>
      <c r="H1182" s="87"/>
      <c r="I1182" s="26"/>
      <c r="J1182" s="51"/>
      <c r="K1182" s="51"/>
      <c r="L1182" s="89"/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  <c r="AW1182" s="89"/>
      <c r="AX1182" s="89"/>
      <c r="AY1182" s="89"/>
    </row>
    <row r="1183" spans="1:51" x14ac:dyDescent="0.2">
      <c r="A1183" s="87"/>
      <c r="B1183" s="26"/>
      <c r="D1183" s="26"/>
      <c r="E1183" s="26"/>
      <c r="F1183" s="26"/>
      <c r="G1183" s="26"/>
      <c r="H1183" s="87"/>
      <c r="I1183" s="26"/>
      <c r="J1183" s="51"/>
      <c r="K1183" s="51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  <c r="AW1183" s="89"/>
      <c r="AX1183" s="89"/>
      <c r="AY1183" s="89"/>
    </row>
    <row r="1184" spans="1:51" x14ac:dyDescent="0.2">
      <c r="A1184" s="87"/>
      <c r="B1184" s="26"/>
      <c r="D1184" s="26"/>
      <c r="E1184" s="26"/>
      <c r="F1184" s="26"/>
      <c r="G1184" s="26"/>
      <c r="H1184" s="87"/>
      <c r="I1184" s="26"/>
      <c r="J1184" s="51"/>
      <c r="K1184" s="51"/>
      <c r="L1184" s="89"/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89"/>
      <c r="AX1184" s="89"/>
      <c r="AY1184" s="89"/>
    </row>
    <row r="1185" spans="1:51" x14ac:dyDescent="0.2">
      <c r="A1185" s="87"/>
      <c r="B1185" s="26"/>
      <c r="D1185" s="26"/>
      <c r="E1185" s="26"/>
      <c r="F1185" s="26"/>
      <c r="G1185" s="26"/>
      <c r="H1185" s="87"/>
      <c r="I1185" s="26"/>
      <c r="J1185" s="51"/>
      <c r="K1185" s="51"/>
      <c r="L1185" s="89"/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89"/>
      <c r="AX1185" s="89"/>
      <c r="AY1185" s="89"/>
    </row>
    <row r="1186" spans="1:51" x14ac:dyDescent="0.2">
      <c r="A1186" s="87"/>
      <c r="B1186" s="26"/>
      <c r="D1186" s="26"/>
      <c r="E1186" s="26"/>
      <c r="F1186" s="26"/>
      <c r="G1186" s="26"/>
      <c r="H1186" s="87"/>
      <c r="I1186" s="26"/>
      <c r="J1186" s="51"/>
      <c r="K1186" s="51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89"/>
      <c r="AX1186" s="89"/>
      <c r="AY1186" s="89"/>
    </row>
    <row r="1187" spans="1:51" x14ac:dyDescent="0.2">
      <c r="A1187" s="87"/>
      <c r="B1187" s="26"/>
      <c r="D1187" s="26"/>
      <c r="E1187" s="26"/>
      <c r="F1187" s="26"/>
      <c r="G1187" s="26"/>
      <c r="H1187" s="87"/>
      <c r="I1187" s="26"/>
      <c r="J1187" s="51"/>
    </row>
    <row r="1188" spans="1:51" x14ac:dyDescent="0.2">
      <c r="A1188" s="87"/>
      <c r="B1188" s="26"/>
      <c r="D1188" s="26"/>
      <c r="E1188" s="26"/>
      <c r="F1188" s="26"/>
      <c r="G1188" s="26"/>
      <c r="H1188" s="87"/>
      <c r="I1188" s="26"/>
      <c r="J1188" s="51"/>
    </row>
    <row r="1189" spans="1:51" x14ac:dyDescent="0.2">
      <c r="A1189" s="87"/>
      <c r="B1189" s="26"/>
      <c r="D1189" s="26"/>
      <c r="E1189" s="26"/>
      <c r="F1189" s="26"/>
      <c r="G1189" s="26"/>
      <c r="H1189" s="87"/>
      <c r="I1189" s="26"/>
      <c r="J1189" s="51"/>
    </row>
    <row r="1190" spans="1:51" x14ac:dyDescent="0.2">
      <c r="A1190" s="87"/>
      <c r="B1190" s="26"/>
      <c r="D1190" s="26"/>
      <c r="E1190" s="26"/>
      <c r="F1190" s="26"/>
      <c r="G1190" s="26"/>
      <c r="H1190" s="87"/>
      <c r="I1190" s="26"/>
      <c r="J1190" s="51"/>
    </row>
    <row r="1191" spans="1:51" x14ac:dyDescent="0.2">
      <c r="A1191" s="87"/>
      <c r="B1191" s="26"/>
      <c r="D1191" s="26"/>
      <c r="E1191" s="26"/>
      <c r="F1191" s="26"/>
      <c r="G1191" s="26"/>
      <c r="H1191" s="87"/>
      <c r="I1191" s="26"/>
      <c r="J1191" s="51"/>
    </row>
    <row r="1192" spans="1:51" x14ac:dyDescent="0.2">
      <c r="A1192" s="87"/>
      <c r="B1192" s="26"/>
      <c r="D1192" s="26"/>
      <c r="E1192" s="26"/>
      <c r="F1192" s="26"/>
      <c r="G1192" s="26"/>
      <c r="H1192" s="87"/>
      <c r="I1192" s="26"/>
      <c r="J1192" s="51"/>
    </row>
    <row r="1193" spans="1:51" x14ac:dyDescent="0.2">
      <c r="A1193" s="87"/>
      <c r="B1193" s="26"/>
      <c r="D1193" s="26"/>
      <c r="E1193" s="26"/>
      <c r="F1193" s="26"/>
      <c r="G1193" s="26"/>
      <c r="H1193" s="87"/>
      <c r="I1193" s="26"/>
      <c r="J1193" s="51"/>
    </row>
    <row r="1194" spans="1:51" x14ac:dyDescent="0.2">
      <c r="A1194" s="87"/>
      <c r="B1194" s="26"/>
      <c r="D1194" s="26"/>
      <c r="E1194" s="26"/>
      <c r="F1194" s="26"/>
      <c r="G1194" s="26"/>
      <c r="H1194" s="87"/>
      <c r="I1194" s="26"/>
      <c r="J1194" s="51"/>
      <c r="K1194" s="26"/>
      <c r="L1194" s="87"/>
      <c r="M1194" s="87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  <c r="AW1194" s="87"/>
      <c r="AX1194" s="87"/>
      <c r="AY1194" s="87"/>
    </row>
    <row r="1195" spans="1:51" x14ac:dyDescent="0.2">
      <c r="A1195" s="87"/>
      <c r="B1195" s="26"/>
      <c r="D1195" s="26"/>
      <c r="E1195" s="26"/>
      <c r="F1195" s="26"/>
      <c r="G1195" s="26"/>
      <c r="H1195" s="87"/>
      <c r="I1195" s="26"/>
      <c r="J1195" s="51"/>
      <c r="K1195" s="26"/>
      <c r="L1195" s="87"/>
      <c r="M1195" s="87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  <c r="AW1195" s="87"/>
      <c r="AX1195" s="87"/>
      <c r="AY1195" s="87"/>
    </row>
    <row r="1196" spans="1:51" x14ac:dyDescent="0.2">
      <c r="A1196" s="87"/>
      <c r="B1196" s="26"/>
      <c r="D1196" s="26"/>
      <c r="E1196" s="26"/>
      <c r="F1196" s="26"/>
      <c r="G1196" s="26"/>
      <c r="H1196" s="87"/>
      <c r="I1196" s="26"/>
      <c r="J1196" s="51"/>
      <c r="K1196" s="26"/>
      <c r="L1196" s="87"/>
      <c r="M1196" s="87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  <c r="AW1196" s="87"/>
      <c r="AX1196" s="87"/>
      <c r="AY1196" s="87"/>
    </row>
    <row r="1197" spans="1:51" x14ac:dyDescent="0.2">
      <c r="A1197" s="87"/>
      <c r="B1197" s="26"/>
      <c r="D1197" s="26"/>
      <c r="E1197" s="26"/>
      <c r="F1197" s="26"/>
      <c r="G1197" s="26"/>
      <c r="H1197" s="87"/>
      <c r="I1197" s="26"/>
      <c r="J1197" s="51"/>
      <c r="K1197" s="26"/>
      <c r="L1197" s="87"/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  <c r="AW1197" s="87"/>
      <c r="AX1197" s="87"/>
      <c r="AY1197" s="87"/>
    </row>
    <row r="1198" spans="1:51" x14ac:dyDescent="0.2">
      <c r="A1198" s="87"/>
      <c r="B1198" s="26"/>
      <c r="D1198" s="26"/>
      <c r="E1198" s="26"/>
      <c r="F1198" s="26"/>
      <c r="G1198" s="26"/>
      <c r="H1198" s="87"/>
      <c r="I1198" s="26"/>
      <c r="J1198" s="51"/>
      <c r="K1198" s="26"/>
      <c r="L1198" s="87"/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  <c r="AW1198" s="87"/>
      <c r="AX1198" s="87"/>
      <c r="AY1198" s="87"/>
    </row>
    <row r="1199" spans="1:51" x14ac:dyDescent="0.2">
      <c r="A1199" s="87"/>
      <c r="B1199" s="26"/>
      <c r="D1199" s="26"/>
      <c r="E1199" s="26"/>
      <c r="F1199" s="26"/>
      <c r="G1199" s="26"/>
      <c r="H1199" s="87"/>
      <c r="I1199" s="26"/>
      <c r="J1199" s="51"/>
      <c r="K1199" s="26"/>
      <c r="L1199" s="87"/>
      <c r="M1199" s="87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  <c r="AW1199" s="87"/>
      <c r="AX1199" s="87"/>
      <c r="AY1199" s="87"/>
    </row>
    <row r="1200" spans="1:51" x14ac:dyDescent="0.2">
      <c r="A1200" s="87"/>
      <c r="B1200" s="26"/>
      <c r="D1200" s="26"/>
      <c r="E1200" s="26"/>
      <c r="F1200" s="26"/>
      <c r="G1200" s="26"/>
      <c r="H1200" s="87"/>
      <c r="I1200" s="26"/>
      <c r="J1200" s="51"/>
      <c r="K1200" s="26"/>
      <c r="L1200" s="87"/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  <c r="AW1200" s="87"/>
      <c r="AX1200" s="87"/>
      <c r="AY1200" s="87"/>
    </row>
    <row r="1201" spans="1:51" x14ac:dyDescent="0.2">
      <c r="A1201" s="87"/>
      <c r="B1201" s="26"/>
      <c r="D1201" s="26"/>
      <c r="E1201" s="26"/>
      <c r="F1201" s="26"/>
      <c r="G1201" s="26"/>
      <c r="H1201" s="87"/>
      <c r="I1201" s="26"/>
      <c r="J1201" s="51"/>
      <c r="K1201" s="26"/>
      <c r="L1201" s="87"/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  <c r="AW1201" s="87"/>
      <c r="AX1201" s="87"/>
      <c r="AY1201" s="87"/>
    </row>
    <row r="1202" spans="1:51" x14ac:dyDescent="0.2">
      <c r="A1202" s="87"/>
      <c r="B1202" s="26"/>
      <c r="D1202" s="26"/>
      <c r="E1202" s="26"/>
      <c r="F1202" s="26"/>
      <c r="G1202" s="26"/>
      <c r="H1202" s="87"/>
      <c r="I1202" s="26"/>
      <c r="J1202" s="51"/>
      <c r="K1202" s="26"/>
      <c r="L1202" s="87"/>
      <c r="M1202" s="87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  <c r="AW1202" s="87"/>
      <c r="AX1202" s="87"/>
      <c r="AY1202" s="87"/>
    </row>
    <row r="1203" spans="1:51" x14ac:dyDescent="0.2">
      <c r="A1203" s="87"/>
      <c r="B1203" s="26"/>
      <c r="D1203" s="26"/>
      <c r="E1203" s="26"/>
      <c r="F1203" s="26"/>
      <c r="G1203" s="26"/>
      <c r="H1203" s="87"/>
      <c r="I1203" s="26"/>
      <c r="J1203" s="51"/>
      <c r="K1203" s="26"/>
      <c r="L1203" s="87"/>
      <c r="M1203" s="87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  <c r="AW1203" s="87"/>
      <c r="AX1203" s="87"/>
      <c r="AY1203" s="87"/>
    </row>
    <row r="1204" spans="1:51" x14ac:dyDescent="0.2">
      <c r="A1204" s="87"/>
      <c r="B1204" s="26"/>
      <c r="D1204" s="26"/>
      <c r="E1204" s="26"/>
      <c r="F1204" s="26"/>
      <c r="G1204" s="26"/>
      <c r="H1204" s="87"/>
      <c r="I1204" s="26"/>
      <c r="J1204" s="51"/>
      <c r="K1204" s="26"/>
      <c r="L1204" s="87"/>
      <c r="M1204" s="87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  <c r="AW1204" s="87"/>
      <c r="AX1204" s="87"/>
      <c r="AY1204" s="87"/>
    </row>
    <row r="1205" spans="1:51" x14ac:dyDescent="0.2">
      <c r="A1205" s="87"/>
      <c r="B1205" s="26"/>
      <c r="D1205" s="26"/>
      <c r="E1205" s="26"/>
      <c r="F1205" s="26"/>
      <c r="G1205" s="26"/>
      <c r="H1205" s="87"/>
      <c r="I1205" s="26"/>
      <c r="J1205" s="51"/>
      <c r="K1205" s="26"/>
      <c r="L1205" s="87"/>
      <c r="M1205" s="87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  <c r="AW1205" s="87"/>
      <c r="AX1205" s="87"/>
      <c r="AY1205" s="87"/>
    </row>
    <row r="1206" spans="1:51" x14ac:dyDescent="0.2">
      <c r="A1206" s="87"/>
      <c r="B1206" s="26"/>
      <c r="D1206" s="26"/>
      <c r="E1206" s="26"/>
      <c r="F1206" s="26"/>
      <c r="G1206" s="26"/>
      <c r="H1206" s="87"/>
      <c r="I1206" s="26"/>
      <c r="J1206" s="51"/>
      <c r="K1206" s="26"/>
      <c r="L1206" s="87"/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  <c r="AW1206" s="87"/>
      <c r="AX1206" s="87"/>
      <c r="AY1206" s="87"/>
    </row>
    <row r="1207" spans="1:51" x14ac:dyDescent="0.2">
      <c r="A1207" s="87"/>
      <c r="B1207" s="26"/>
      <c r="D1207" s="26"/>
      <c r="E1207" s="26"/>
      <c r="F1207" s="26"/>
      <c r="G1207" s="26"/>
      <c r="H1207" s="87"/>
      <c r="I1207" s="26"/>
      <c r="J1207" s="51"/>
      <c r="K1207" s="26"/>
      <c r="L1207" s="87"/>
      <c r="M1207" s="87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  <c r="AW1207" s="87"/>
      <c r="AX1207" s="87"/>
      <c r="AY1207" s="87"/>
    </row>
    <row r="1208" spans="1:51" x14ac:dyDescent="0.2">
      <c r="A1208" s="87"/>
      <c r="B1208" s="26"/>
      <c r="D1208" s="26"/>
      <c r="E1208" s="26"/>
      <c r="F1208" s="26"/>
      <c r="G1208" s="26"/>
      <c r="H1208" s="87"/>
      <c r="I1208" s="26"/>
      <c r="J1208" s="51"/>
      <c r="K1208" s="26"/>
      <c r="L1208" s="87"/>
      <c r="M1208" s="87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  <c r="AW1208" s="87"/>
      <c r="AX1208" s="87"/>
      <c r="AY1208" s="87"/>
    </row>
    <row r="1209" spans="1:51" x14ac:dyDescent="0.2">
      <c r="A1209" s="87"/>
      <c r="B1209" s="26"/>
      <c r="D1209" s="26"/>
      <c r="E1209" s="26"/>
      <c r="F1209" s="26"/>
      <c r="G1209" s="26"/>
      <c r="H1209" s="87"/>
      <c r="I1209" s="26"/>
      <c r="J1209" s="51"/>
      <c r="K1209" s="26"/>
      <c r="L1209" s="87"/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</row>
    <row r="1210" spans="1:51" x14ac:dyDescent="0.2">
      <c r="A1210" s="87"/>
      <c r="B1210" s="26"/>
      <c r="D1210" s="26"/>
      <c r="E1210" s="26"/>
      <c r="F1210" s="26"/>
      <c r="G1210" s="26"/>
      <c r="H1210" s="87"/>
      <c r="I1210" s="26"/>
      <c r="J1210" s="51"/>
      <c r="K1210" s="26"/>
      <c r="L1210" s="87"/>
      <c r="M1210" s="87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</row>
    <row r="1211" spans="1:51" x14ac:dyDescent="0.2">
      <c r="A1211" s="87"/>
      <c r="B1211" s="26"/>
      <c r="D1211" s="26"/>
      <c r="E1211" s="26"/>
      <c r="F1211" s="26"/>
      <c r="G1211" s="26"/>
      <c r="H1211" s="87"/>
      <c r="I1211" s="26"/>
      <c r="J1211" s="51"/>
      <c r="K1211" s="26"/>
      <c r="L1211" s="87"/>
      <c r="M1211" s="87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</row>
    <row r="1212" spans="1:51" x14ac:dyDescent="0.2">
      <c r="A1212" s="87"/>
      <c r="B1212" s="26"/>
      <c r="D1212" s="26"/>
      <c r="E1212" s="26"/>
      <c r="F1212" s="26"/>
      <c r="G1212" s="26"/>
      <c r="H1212" s="87"/>
      <c r="I1212" s="26"/>
      <c r="J1212" s="51"/>
      <c r="K1212" s="26"/>
      <c r="L1212" s="87"/>
      <c r="M1212" s="87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</row>
    <row r="1213" spans="1:51" x14ac:dyDescent="0.2">
      <c r="A1213" s="87"/>
      <c r="B1213" s="26"/>
      <c r="D1213" s="26"/>
      <c r="E1213" s="26"/>
      <c r="F1213" s="26"/>
      <c r="G1213" s="26"/>
      <c r="H1213" s="87"/>
      <c r="I1213" s="26"/>
      <c r="J1213" s="51"/>
      <c r="K1213" s="26"/>
      <c r="L1213" s="87"/>
      <c r="M1213" s="87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  <c r="AW1213" s="87"/>
      <c r="AX1213" s="87"/>
      <c r="AY1213" s="87"/>
    </row>
    <row r="1214" spans="1:51" x14ac:dyDescent="0.2">
      <c r="A1214" s="87"/>
      <c r="B1214" s="26"/>
      <c r="D1214" s="26"/>
      <c r="E1214" s="26"/>
      <c r="F1214" s="26"/>
      <c r="G1214" s="26"/>
      <c r="H1214" s="87"/>
      <c r="I1214" s="26"/>
      <c r="J1214" s="51"/>
      <c r="K1214" s="26"/>
      <c r="L1214" s="87"/>
      <c r="M1214" s="87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  <c r="AW1214" s="87"/>
      <c r="AX1214" s="87"/>
      <c r="AY1214" s="87"/>
    </row>
    <row r="1215" spans="1:51" x14ac:dyDescent="0.2">
      <c r="A1215" s="87"/>
      <c r="B1215" s="26"/>
      <c r="D1215" s="26"/>
      <c r="E1215" s="26"/>
      <c r="F1215" s="26"/>
      <c r="G1215" s="26"/>
      <c r="H1215" s="87"/>
      <c r="I1215" s="26"/>
      <c r="J1215" s="51"/>
      <c r="K1215" s="26"/>
      <c r="L1215" s="87"/>
      <c r="M1215" s="87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  <c r="AW1215" s="87"/>
      <c r="AX1215" s="87"/>
      <c r="AY1215" s="87"/>
    </row>
    <row r="1216" spans="1:51" x14ac:dyDescent="0.2">
      <c r="A1216" s="87"/>
      <c r="B1216" s="26"/>
      <c r="D1216" s="26"/>
      <c r="E1216" s="26"/>
      <c r="F1216" s="26"/>
      <c r="G1216" s="26"/>
      <c r="H1216" s="87"/>
      <c r="I1216" s="26"/>
      <c r="J1216" s="51"/>
      <c r="K1216" s="26"/>
      <c r="L1216" s="87"/>
      <c r="M1216" s="87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  <c r="AW1216" s="87"/>
      <c r="AX1216" s="87"/>
      <c r="AY1216" s="87"/>
    </row>
    <row r="1217" spans="1:51" x14ac:dyDescent="0.2">
      <c r="A1217" s="87"/>
      <c r="B1217" s="26"/>
      <c r="D1217" s="26"/>
      <c r="E1217" s="26"/>
      <c r="F1217" s="26"/>
      <c r="G1217" s="26"/>
      <c r="H1217" s="87"/>
      <c r="I1217" s="26"/>
      <c r="J1217" s="51"/>
      <c r="K1217" s="26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  <c r="AW1217" s="87"/>
      <c r="AX1217" s="87"/>
      <c r="AY1217" s="87"/>
    </row>
    <row r="1218" spans="1:51" x14ac:dyDescent="0.2">
      <c r="A1218" s="87"/>
      <c r="B1218" s="26"/>
      <c r="D1218" s="26"/>
      <c r="E1218" s="26"/>
      <c r="F1218" s="26"/>
      <c r="G1218" s="26"/>
      <c r="H1218" s="87"/>
      <c r="I1218" s="26"/>
      <c r="J1218" s="51"/>
      <c r="K1218" s="26"/>
      <c r="L1218" s="87"/>
      <c r="M1218" s="87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  <c r="AW1218" s="87"/>
      <c r="AX1218" s="87"/>
      <c r="AY1218" s="87"/>
    </row>
    <row r="1219" spans="1:51" x14ac:dyDescent="0.2">
      <c r="A1219" s="87"/>
      <c r="B1219" s="26"/>
      <c r="D1219" s="26"/>
      <c r="E1219" s="26"/>
      <c r="F1219" s="26"/>
      <c r="G1219" s="26"/>
      <c r="H1219" s="87"/>
      <c r="I1219" s="26"/>
      <c r="J1219" s="51"/>
      <c r="K1219" s="26"/>
      <c r="L1219" s="87"/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  <c r="AW1219" s="87"/>
      <c r="AX1219" s="87"/>
      <c r="AY1219" s="87"/>
    </row>
    <row r="1220" spans="1:51" x14ac:dyDescent="0.2">
      <c r="A1220" s="87"/>
      <c r="B1220" s="26"/>
      <c r="D1220" s="26"/>
      <c r="E1220" s="26"/>
      <c r="F1220" s="26"/>
      <c r="G1220" s="26"/>
      <c r="H1220" s="87"/>
      <c r="I1220" s="26"/>
      <c r="J1220" s="51"/>
      <c r="K1220" s="26"/>
      <c r="L1220" s="87"/>
      <c r="M1220" s="87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  <c r="AW1220" s="87"/>
      <c r="AX1220" s="87"/>
      <c r="AY1220" s="87"/>
    </row>
    <row r="1221" spans="1:51" x14ac:dyDescent="0.2">
      <c r="A1221" s="87"/>
      <c r="B1221" s="26"/>
      <c r="D1221" s="26"/>
      <c r="E1221" s="26"/>
      <c r="F1221" s="26"/>
      <c r="G1221" s="26"/>
      <c r="H1221" s="87"/>
      <c r="I1221" s="26"/>
      <c r="J1221" s="51"/>
      <c r="K1221" s="26"/>
      <c r="L1221" s="87"/>
      <c r="M1221" s="87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  <c r="AW1221" s="87"/>
      <c r="AX1221" s="87"/>
      <c r="AY1221" s="87"/>
    </row>
    <row r="1222" spans="1:51" x14ac:dyDescent="0.2">
      <c r="A1222" s="87"/>
      <c r="B1222" s="26"/>
      <c r="D1222" s="26"/>
      <c r="E1222" s="26"/>
      <c r="F1222" s="26"/>
      <c r="G1222" s="26"/>
      <c r="H1222" s="87"/>
      <c r="I1222" s="26"/>
      <c r="J1222" s="51"/>
      <c r="K1222" s="26"/>
      <c r="L1222" s="87"/>
      <c r="M1222" s="87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  <c r="AW1222" s="87"/>
      <c r="AX1222" s="87"/>
      <c r="AY1222" s="87"/>
    </row>
    <row r="1223" spans="1:51" x14ac:dyDescent="0.2">
      <c r="A1223" s="87"/>
      <c r="B1223" s="26"/>
      <c r="D1223" s="26"/>
      <c r="E1223" s="26"/>
      <c r="F1223" s="26"/>
      <c r="G1223" s="26"/>
      <c r="H1223" s="87"/>
      <c r="I1223" s="26"/>
      <c r="J1223" s="51"/>
      <c r="K1223" s="26"/>
      <c r="L1223" s="87"/>
      <c r="M1223" s="87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  <c r="AW1223" s="87"/>
      <c r="AX1223" s="87"/>
      <c r="AY1223" s="87"/>
    </row>
    <row r="1224" spans="1:51" x14ac:dyDescent="0.2">
      <c r="A1224" s="87"/>
      <c r="B1224" s="26"/>
      <c r="D1224" s="26"/>
      <c r="E1224" s="26"/>
      <c r="F1224" s="26"/>
      <c r="G1224" s="26"/>
      <c r="H1224" s="87"/>
      <c r="I1224" s="26"/>
      <c r="J1224" s="51"/>
      <c r="K1224" s="26"/>
      <c r="L1224" s="87"/>
      <c r="M1224" s="87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  <c r="AW1224" s="87"/>
      <c r="AX1224" s="87"/>
      <c r="AY1224" s="87"/>
    </row>
    <row r="1225" spans="1:51" x14ac:dyDescent="0.2">
      <c r="A1225" s="87"/>
      <c r="B1225" s="26"/>
      <c r="D1225" s="26"/>
      <c r="E1225" s="26"/>
      <c r="F1225" s="26"/>
      <c r="G1225" s="26"/>
      <c r="H1225" s="87"/>
      <c r="I1225" s="26"/>
      <c r="J1225" s="51"/>
      <c r="K1225" s="26"/>
      <c r="L1225" s="87"/>
      <c r="M1225" s="87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  <c r="AW1225" s="87"/>
      <c r="AX1225" s="87"/>
      <c r="AY1225" s="87"/>
    </row>
    <row r="1226" spans="1:51" x14ac:dyDescent="0.2">
      <c r="A1226" s="87"/>
      <c r="B1226" s="26"/>
      <c r="D1226" s="26"/>
      <c r="E1226" s="26"/>
      <c r="F1226" s="26"/>
      <c r="G1226" s="26"/>
      <c r="H1226" s="87"/>
      <c r="I1226" s="26"/>
      <c r="J1226" s="51"/>
      <c r="K1226" s="26"/>
      <c r="L1226" s="87"/>
      <c r="M1226" s="87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  <c r="AW1226" s="87"/>
      <c r="AX1226" s="87"/>
      <c r="AY1226" s="87"/>
    </row>
    <row r="1227" spans="1:51" x14ac:dyDescent="0.2">
      <c r="A1227" s="87"/>
      <c r="B1227" s="26"/>
      <c r="D1227" s="26"/>
      <c r="E1227" s="26"/>
      <c r="F1227" s="26"/>
      <c r="G1227" s="26"/>
      <c r="H1227" s="87"/>
      <c r="I1227" s="26"/>
      <c r="J1227" s="51"/>
      <c r="K1227" s="26"/>
      <c r="L1227" s="87"/>
      <c r="M1227" s="87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  <c r="AW1227" s="87"/>
      <c r="AX1227" s="87"/>
      <c r="AY1227" s="87"/>
    </row>
    <row r="1228" spans="1:51" x14ac:dyDescent="0.2">
      <c r="A1228" s="87"/>
      <c r="B1228" s="26"/>
      <c r="D1228" s="26"/>
      <c r="E1228" s="26"/>
      <c r="F1228" s="26"/>
      <c r="G1228" s="26"/>
      <c r="H1228" s="87"/>
      <c r="I1228" s="26"/>
      <c r="J1228" s="51"/>
      <c r="K1228" s="26"/>
      <c r="L1228" s="87"/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  <c r="AW1228" s="87"/>
      <c r="AX1228" s="87"/>
      <c r="AY1228" s="87"/>
    </row>
    <row r="1229" spans="1:51" x14ac:dyDescent="0.2">
      <c r="A1229" s="87"/>
      <c r="B1229" s="26"/>
      <c r="D1229" s="26"/>
      <c r="E1229" s="26"/>
      <c r="F1229" s="26"/>
      <c r="G1229" s="26"/>
      <c r="H1229" s="87"/>
      <c r="I1229" s="26"/>
      <c r="J1229" s="51"/>
      <c r="K1229" s="26"/>
      <c r="L1229" s="87"/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  <c r="AW1229" s="87"/>
      <c r="AX1229" s="87"/>
      <c r="AY1229" s="87"/>
    </row>
    <row r="1230" spans="1:51" x14ac:dyDescent="0.2">
      <c r="A1230" s="87"/>
      <c r="B1230" s="26"/>
      <c r="D1230" s="26"/>
      <c r="E1230" s="26"/>
      <c r="F1230" s="26"/>
      <c r="G1230" s="26"/>
      <c r="H1230" s="87"/>
      <c r="I1230" s="26"/>
      <c r="J1230" s="51"/>
      <c r="K1230" s="26"/>
      <c r="L1230" s="87"/>
      <c r="M1230" s="87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  <c r="AW1230" s="87"/>
      <c r="AX1230" s="87"/>
      <c r="AY1230" s="87"/>
    </row>
    <row r="1231" spans="1:51" x14ac:dyDescent="0.2">
      <c r="A1231" s="87"/>
      <c r="B1231" s="26"/>
      <c r="D1231" s="26"/>
      <c r="E1231" s="26"/>
      <c r="F1231" s="26"/>
      <c r="G1231" s="26"/>
      <c r="H1231" s="87"/>
      <c r="I1231" s="26"/>
      <c r="J1231" s="51"/>
      <c r="K1231" s="26"/>
      <c r="L1231" s="87"/>
      <c r="M1231" s="87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  <c r="AW1231" s="87"/>
      <c r="AX1231" s="87"/>
      <c r="AY1231" s="87"/>
    </row>
    <row r="1232" spans="1:51" x14ac:dyDescent="0.2">
      <c r="A1232" s="87"/>
      <c r="B1232" s="26"/>
      <c r="D1232" s="26"/>
      <c r="E1232" s="26"/>
      <c r="F1232" s="26"/>
      <c r="G1232" s="26"/>
      <c r="H1232" s="87"/>
      <c r="I1232" s="26"/>
      <c r="J1232" s="51"/>
      <c r="K1232" s="26"/>
      <c r="L1232" s="87"/>
      <c r="M1232" s="87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  <c r="AW1232" s="87"/>
      <c r="AX1232" s="87"/>
      <c r="AY1232" s="87"/>
    </row>
    <row r="1233" spans="1:51" x14ac:dyDescent="0.2">
      <c r="A1233" s="87"/>
      <c r="B1233" s="26"/>
      <c r="D1233" s="26"/>
      <c r="E1233" s="26"/>
      <c r="F1233" s="26"/>
      <c r="G1233" s="26"/>
      <c r="H1233" s="87"/>
      <c r="I1233" s="26"/>
      <c r="J1233" s="51"/>
      <c r="K1233" s="26"/>
      <c r="L1233" s="87"/>
      <c r="M1233" s="87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87"/>
      <c r="AV1233" s="87"/>
      <c r="AW1233" s="87"/>
      <c r="AX1233" s="87"/>
      <c r="AY1233" s="87"/>
    </row>
    <row r="1234" spans="1:51" x14ac:dyDescent="0.2">
      <c r="A1234" s="87"/>
      <c r="B1234" s="26"/>
      <c r="D1234" s="26"/>
      <c r="E1234" s="26"/>
      <c r="F1234" s="26"/>
      <c r="G1234" s="26"/>
      <c r="H1234" s="87"/>
      <c r="I1234" s="26"/>
      <c r="J1234" s="51"/>
      <c r="K1234" s="26"/>
      <c r="L1234" s="87"/>
      <c r="M1234" s="87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  <c r="AW1234" s="87"/>
      <c r="AX1234" s="87"/>
      <c r="AY1234" s="87"/>
    </row>
    <row r="1235" spans="1:51" x14ac:dyDescent="0.2">
      <c r="A1235" s="87"/>
      <c r="B1235" s="26"/>
      <c r="D1235" s="26"/>
      <c r="E1235" s="26"/>
      <c r="F1235" s="26"/>
      <c r="G1235" s="26"/>
      <c r="H1235" s="87"/>
      <c r="I1235" s="26"/>
      <c r="J1235" s="51"/>
      <c r="K1235" s="26"/>
      <c r="L1235" s="87"/>
      <c r="M1235" s="87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87"/>
      <c r="AV1235" s="87"/>
      <c r="AW1235" s="87"/>
      <c r="AX1235" s="87"/>
      <c r="AY1235" s="87"/>
    </row>
    <row r="1236" spans="1:51" x14ac:dyDescent="0.2">
      <c r="A1236" s="87"/>
      <c r="B1236" s="26"/>
      <c r="D1236" s="26"/>
      <c r="E1236" s="26"/>
      <c r="F1236" s="26"/>
      <c r="G1236" s="26"/>
      <c r="H1236" s="87"/>
      <c r="I1236" s="26"/>
      <c r="J1236" s="51"/>
      <c r="K1236" s="26"/>
      <c r="L1236" s="87"/>
      <c r="M1236" s="87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  <c r="AW1236" s="87"/>
      <c r="AX1236" s="87"/>
      <c r="AY1236" s="87"/>
    </row>
    <row r="1237" spans="1:51" x14ac:dyDescent="0.2">
      <c r="A1237" s="87"/>
      <c r="B1237" s="26"/>
      <c r="D1237" s="26"/>
      <c r="E1237" s="26"/>
      <c r="F1237" s="26"/>
      <c r="G1237" s="26"/>
      <c r="H1237" s="87"/>
      <c r="I1237" s="26"/>
      <c r="J1237" s="51"/>
      <c r="K1237" s="26"/>
      <c r="L1237" s="87"/>
      <c r="M1237" s="87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  <c r="AW1237" s="87"/>
      <c r="AX1237" s="87"/>
      <c r="AY1237" s="87"/>
    </row>
    <row r="1238" spans="1:51" x14ac:dyDescent="0.2">
      <c r="A1238" s="87"/>
      <c r="B1238" s="26"/>
      <c r="D1238" s="26"/>
      <c r="E1238" s="26"/>
      <c r="F1238" s="26"/>
      <c r="G1238" s="26"/>
      <c r="H1238" s="87"/>
      <c r="I1238" s="26"/>
      <c r="J1238" s="51"/>
      <c r="K1238" s="26"/>
      <c r="L1238" s="87"/>
      <c r="M1238" s="87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  <c r="AW1238" s="87"/>
      <c r="AX1238" s="87"/>
      <c r="AY1238" s="87"/>
    </row>
    <row r="1239" spans="1:51" x14ac:dyDescent="0.2">
      <c r="A1239" s="87"/>
      <c r="B1239" s="26"/>
      <c r="D1239" s="26"/>
      <c r="E1239" s="26"/>
      <c r="F1239" s="26"/>
      <c r="G1239" s="26"/>
      <c r="H1239" s="87"/>
      <c r="I1239" s="26"/>
      <c r="J1239" s="51"/>
      <c r="K1239" s="26"/>
      <c r="L1239" s="87"/>
      <c r="M1239" s="87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  <c r="AW1239" s="87"/>
      <c r="AX1239" s="87"/>
      <c r="AY1239" s="87"/>
    </row>
    <row r="1240" spans="1:51" x14ac:dyDescent="0.2">
      <c r="A1240" s="87"/>
      <c r="B1240" s="26"/>
      <c r="D1240" s="26"/>
      <c r="E1240" s="26"/>
      <c r="F1240" s="26"/>
      <c r="G1240" s="26"/>
      <c r="H1240" s="87"/>
      <c r="I1240" s="26"/>
      <c r="J1240" s="51"/>
      <c r="K1240" s="26"/>
      <c r="L1240" s="87"/>
      <c r="M1240" s="87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87"/>
      <c r="AV1240" s="87"/>
      <c r="AW1240" s="87"/>
      <c r="AX1240" s="87"/>
      <c r="AY1240" s="87"/>
    </row>
    <row r="1241" spans="1:51" x14ac:dyDescent="0.2">
      <c r="A1241" s="87"/>
      <c r="B1241" s="26"/>
      <c r="D1241" s="26"/>
      <c r="E1241" s="26"/>
      <c r="F1241" s="26"/>
      <c r="G1241" s="26"/>
      <c r="H1241" s="87"/>
      <c r="I1241" s="26"/>
      <c r="J1241" s="51"/>
      <c r="K1241" s="26"/>
      <c r="L1241" s="87"/>
      <c r="M1241" s="87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  <c r="AW1241" s="87"/>
      <c r="AX1241" s="87"/>
      <c r="AY1241" s="87"/>
    </row>
    <row r="1242" spans="1:51" x14ac:dyDescent="0.2">
      <c r="A1242" s="87"/>
      <c r="B1242" s="26"/>
      <c r="D1242" s="26"/>
      <c r="E1242" s="26"/>
      <c r="F1242" s="26"/>
      <c r="G1242" s="26"/>
      <c r="H1242" s="87"/>
      <c r="I1242" s="26"/>
      <c r="J1242" s="51"/>
      <c r="K1242" s="26"/>
      <c r="L1242" s="87"/>
      <c r="M1242" s="87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87"/>
      <c r="AV1242" s="87"/>
      <c r="AW1242" s="87"/>
      <c r="AX1242" s="87"/>
      <c r="AY1242" s="87"/>
    </row>
    <row r="1243" spans="1:51" x14ac:dyDescent="0.2">
      <c r="A1243" s="87"/>
      <c r="B1243" s="26"/>
      <c r="D1243" s="26"/>
      <c r="E1243" s="26"/>
      <c r="F1243" s="26"/>
      <c r="G1243" s="26"/>
      <c r="H1243" s="87"/>
      <c r="I1243" s="26"/>
      <c r="J1243" s="51"/>
      <c r="K1243" s="26"/>
      <c r="L1243" s="87"/>
      <c r="M1243" s="87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  <c r="AW1243" s="87"/>
      <c r="AX1243" s="87"/>
      <c r="AY1243" s="87"/>
    </row>
    <row r="1244" spans="1:51" x14ac:dyDescent="0.2">
      <c r="A1244" s="87"/>
      <c r="B1244" s="26"/>
      <c r="D1244" s="26"/>
      <c r="E1244" s="26"/>
      <c r="F1244" s="26"/>
      <c r="G1244" s="26"/>
      <c r="H1244" s="87"/>
      <c r="I1244" s="26"/>
      <c r="J1244" s="51"/>
      <c r="K1244" s="26"/>
      <c r="L1244" s="87"/>
      <c r="M1244" s="87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  <c r="AW1244" s="87"/>
      <c r="AX1244" s="87"/>
      <c r="AY1244" s="87"/>
    </row>
    <row r="1245" spans="1:51" x14ac:dyDescent="0.2">
      <c r="A1245" s="87"/>
      <c r="B1245" s="26"/>
      <c r="D1245" s="26"/>
      <c r="E1245" s="26"/>
      <c r="F1245" s="26"/>
      <c r="G1245" s="26"/>
      <c r="H1245" s="87"/>
      <c r="I1245" s="26"/>
      <c r="J1245" s="51"/>
      <c r="K1245" s="26"/>
      <c r="L1245" s="87"/>
      <c r="M1245" s="87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  <c r="AW1245" s="87"/>
      <c r="AX1245" s="87"/>
      <c r="AY1245" s="87"/>
    </row>
    <row r="1246" spans="1:51" x14ac:dyDescent="0.2">
      <c r="A1246" s="87"/>
      <c r="B1246" s="26"/>
      <c r="D1246" s="26"/>
      <c r="E1246" s="26"/>
      <c r="F1246" s="26"/>
      <c r="G1246" s="26"/>
      <c r="H1246" s="87"/>
      <c r="I1246" s="26"/>
      <c r="J1246" s="51"/>
      <c r="K1246" s="26"/>
      <c r="L1246" s="87"/>
      <c r="M1246" s="87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  <c r="AW1246" s="87"/>
      <c r="AX1246" s="87"/>
      <c r="AY1246" s="87"/>
    </row>
    <row r="1247" spans="1:51" x14ac:dyDescent="0.2">
      <c r="A1247" s="87"/>
      <c r="B1247" s="26"/>
      <c r="D1247" s="26"/>
      <c r="E1247" s="26"/>
      <c r="F1247" s="26"/>
      <c r="G1247" s="26"/>
      <c r="H1247" s="87"/>
      <c r="I1247" s="26"/>
      <c r="J1247" s="51"/>
      <c r="K1247" s="26"/>
      <c r="L1247" s="87"/>
      <c r="M1247" s="87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  <c r="AW1247" s="87"/>
      <c r="AX1247" s="87"/>
      <c r="AY1247" s="87"/>
    </row>
    <row r="1248" spans="1:51" x14ac:dyDescent="0.2">
      <c r="A1248" s="87"/>
      <c r="B1248" s="26"/>
      <c r="D1248" s="26"/>
      <c r="E1248" s="26"/>
      <c r="F1248" s="26"/>
      <c r="G1248" s="26"/>
      <c r="H1248" s="87"/>
      <c r="I1248" s="26"/>
      <c r="J1248" s="51"/>
      <c r="K1248" s="26"/>
      <c r="L1248" s="87"/>
      <c r="M1248" s="87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87"/>
      <c r="AV1248" s="87"/>
      <c r="AW1248" s="87"/>
      <c r="AX1248" s="87"/>
      <c r="AY1248" s="87"/>
    </row>
    <row r="1249" spans="1:51" x14ac:dyDescent="0.2">
      <c r="A1249" s="87"/>
      <c r="B1249" s="26"/>
      <c r="D1249" s="26"/>
      <c r="E1249" s="26"/>
      <c r="F1249" s="26"/>
      <c r="G1249" s="26"/>
      <c r="H1249" s="87"/>
      <c r="I1249" s="26"/>
      <c r="J1249" s="51"/>
      <c r="K1249" s="26"/>
      <c r="L1249" s="87"/>
      <c r="M1249" s="87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  <c r="AW1249" s="87"/>
      <c r="AX1249" s="87"/>
      <c r="AY1249" s="87"/>
    </row>
    <row r="1250" spans="1:51" x14ac:dyDescent="0.2">
      <c r="A1250" s="87"/>
      <c r="B1250" s="26"/>
      <c r="D1250" s="26"/>
      <c r="E1250" s="26"/>
      <c r="F1250" s="26"/>
      <c r="G1250" s="26"/>
      <c r="H1250" s="87"/>
      <c r="I1250" s="26"/>
      <c r="J1250" s="51"/>
      <c r="K1250" s="26"/>
      <c r="L1250" s="87"/>
      <c r="M1250" s="87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  <c r="AW1250" s="87"/>
      <c r="AX1250" s="87"/>
      <c r="AY1250" s="87"/>
    </row>
    <row r="1251" spans="1:51" x14ac:dyDescent="0.2">
      <c r="A1251" s="87"/>
      <c r="B1251" s="26"/>
      <c r="D1251" s="26"/>
      <c r="E1251" s="26"/>
      <c r="F1251" s="26"/>
      <c r="G1251" s="26"/>
      <c r="H1251" s="87"/>
      <c r="I1251" s="26"/>
      <c r="J1251" s="51"/>
      <c r="K1251" s="26"/>
      <c r="L1251" s="87"/>
      <c r="M1251" s="87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87"/>
      <c r="AV1251" s="87"/>
      <c r="AW1251" s="87"/>
      <c r="AX1251" s="87"/>
      <c r="AY1251" s="87"/>
    </row>
    <row r="1252" spans="1:51" x14ac:dyDescent="0.2">
      <c r="A1252" s="87"/>
      <c r="B1252" s="26"/>
      <c r="D1252" s="26"/>
      <c r="E1252" s="26"/>
      <c r="F1252" s="26"/>
      <c r="G1252" s="26"/>
      <c r="H1252" s="87"/>
      <c r="I1252" s="26"/>
      <c r="J1252" s="51"/>
      <c r="K1252" s="26"/>
      <c r="L1252" s="87"/>
      <c r="M1252" s="87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87"/>
      <c r="AV1252" s="87"/>
      <c r="AW1252" s="87"/>
      <c r="AX1252" s="87"/>
      <c r="AY1252" s="87"/>
    </row>
    <row r="1253" spans="1:51" x14ac:dyDescent="0.2">
      <c r="A1253" s="87"/>
      <c r="B1253" s="26"/>
      <c r="D1253" s="26"/>
      <c r="E1253" s="26"/>
      <c r="F1253" s="26"/>
      <c r="G1253" s="26"/>
      <c r="H1253" s="87"/>
      <c r="I1253" s="26"/>
      <c r="J1253" s="51"/>
      <c r="K1253" s="26"/>
      <c r="L1253" s="87"/>
      <c r="M1253" s="87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  <c r="AW1253" s="87"/>
      <c r="AX1253" s="87"/>
      <c r="AY1253" s="87"/>
    </row>
    <row r="1254" spans="1:51" x14ac:dyDescent="0.2">
      <c r="A1254" s="87"/>
      <c r="B1254" s="26"/>
      <c r="D1254" s="26"/>
      <c r="E1254" s="26"/>
      <c r="F1254" s="26"/>
      <c r="G1254" s="26"/>
      <c r="H1254" s="87"/>
      <c r="I1254" s="26"/>
      <c r="J1254" s="51"/>
      <c r="K1254" s="26"/>
      <c r="L1254" s="87"/>
      <c r="M1254" s="87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  <c r="AW1254" s="87"/>
      <c r="AX1254" s="87"/>
      <c r="AY1254" s="87"/>
    </row>
    <row r="1255" spans="1:51" x14ac:dyDescent="0.2">
      <c r="A1255" s="87"/>
      <c r="B1255" s="26"/>
      <c r="D1255" s="26"/>
      <c r="E1255" s="26"/>
      <c r="F1255" s="26"/>
      <c r="G1255" s="26"/>
      <c r="H1255" s="87"/>
      <c r="I1255" s="26"/>
      <c r="J1255" s="51"/>
      <c r="K1255" s="26"/>
      <c r="L1255" s="87"/>
      <c r="M1255" s="87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87"/>
      <c r="AV1255" s="87"/>
      <c r="AW1255" s="87"/>
      <c r="AX1255" s="87"/>
      <c r="AY1255" s="87"/>
    </row>
    <row r="1256" spans="1:51" x14ac:dyDescent="0.2">
      <c r="A1256" s="87"/>
      <c r="B1256" s="26"/>
      <c r="D1256" s="26"/>
      <c r="E1256" s="26"/>
      <c r="F1256" s="26"/>
      <c r="G1256" s="26"/>
      <c r="H1256" s="87"/>
      <c r="I1256" s="26"/>
      <c r="J1256" s="51"/>
      <c r="K1256" s="26"/>
      <c r="L1256" s="87"/>
      <c r="M1256" s="87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  <c r="AW1256" s="87"/>
      <c r="AX1256" s="87"/>
      <c r="AY1256" s="87"/>
    </row>
    <row r="1257" spans="1:51" x14ac:dyDescent="0.2">
      <c r="A1257" s="87"/>
      <c r="B1257" s="26"/>
      <c r="D1257" s="26"/>
      <c r="E1257" s="26"/>
      <c r="F1257" s="26"/>
      <c r="G1257" s="26"/>
      <c r="H1257" s="87"/>
      <c r="I1257" s="26"/>
      <c r="J1257" s="51"/>
      <c r="K1257" s="26"/>
      <c r="L1257" s="87"/>
      <c r="M1257" s="87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  <c r="AW1257" s="87"/>
      <c r="AX1257" s="87"/>
      <c r="AY1257" s="87"/>
    </row>
    <row r="1258" spans="1:51" x14ac:dyDescent="0.2">
      <c r="A1258" s="87"/>
      <c r="B1258" s="26"/>
      <c r="D1258" s="26"/>
      <c r="E1258" s="26"/>
      <c r="F1258" s="26"/>
      <c r="G1258" s="26"/>
      <c r="H1258" s="87"/>
      <c r="I1258" s="26"/>
      <c r="J1258" s="51"/>
      <c r="K1258" s="26"/>
      <c r="L1258" s="87"/>
      <c r="M1258" s="87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  <c r="AW1258" s="87"/>
      <c r="AX1258" s="87"/>
      <c r="AY1258" s="87"/>
    </row>
    <row r="1259" spans="1:51" x14ac:dyDescent="0.2">
      <c r="A1259" s="87"/>
      <c r="B1259" s="26"/>
      <c r="D1259" s="26"/>
      <c r="E1259" s="26"/>
      <c r="F1259" s="26"/>
      <c r="G1259" s="26"/>
      <c r="H1259" s="87"/>
      <c r="I1259" s="26"/>
      <c r="J1259" s="51"/>
      <c r="K1259" s="26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  <c r="AW1259" s="87"/>
      <c r="AX1259" s="87"/>
      <c r="AY1259" s="87"/>
    </row>
    <row r="1260" spans="1:51" x14ac:dyDescent="0.2">
      <c r="A1260" s="87"/>
      <c r="B1260" s="26"/>
      <c r="D1260" s="26"/>
      <c r="E1260" s="26"/>
      <c r="F1260" s="26"/>
      <c r="G1260" s="26"/>
      <c r="H1260" s="87"/>
      <c r="I1260" s="26"/>
      <c r="J1260" s="51"/>
      <c r="K1260" s="26"/>
      <c r="L1260" s="87"/>
      <c r="M1260" s="87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87"/>
      <c r="AV1260" s="87"/>
      <c r="AW1260" s="87"/>
      <c r="AX1260" s="87"/>
      <c r="AY1260" s="87"/>
    </row>
    <row r="1261" spans="1:51" x14ac:dyDescent="0.2">
      <c r="A1261" s="87"/>
      <c r="B1261" s="26"/>
      <c r="D1261" s="26"/>
      <c r="E1261" s="26"/>
      <c r="F1261" s="26"/>
      <c r="G1261" s="26"/>
      <c r="H1261" s="87"/>
      <c r="I1261" s="26"/>
      <c r="J1261" s="51"/>
      <c r="K1261" s="26"/>
      <c r="L1261" s="87"/>
      <c r="M1261" s="87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  <c r="AW1261" s="87"/>
      <c r="AX1261" s="87"/>
      <c r="AY1261" s="87"/>
    </row>
    <row r="1262" spans="1:51" x14ac:dyDescent="0.2">
      <c r="A1262" s="87"/>
      <c r="B1262" s="26"/>
      <c r="D1262" s="26"/>
      <c r="E1262" s="26"/>
      <c r="F1262" s="26"/>
      <c r="G1262" s="26"/>
      <c r="H1262" s="87"/>
      <c r="I1262" s="26"/>
      <c r="J1262" s="51"/>
      <c r="K1262" s="26"/>
      <c r="L1262" s="87"/>
      <c r="M1262" s="87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  <c r="AW1262" s="87"/>
      <c r="AX1262" s="87"/>
      <c r="AY1262" s="87"/>
    </row>
    <row r="1263" spans="1:51" x14ac:dyDescent="0.2">
      <c r="A1263" s="87"/>
      <c r="B1263" s="26"/>
      <c r="D1263" s="26"/>
      <c r="E1263" s="26"/>
      <c r="F1263" s="26"/>
      <c r="G1263" s="26"/>
      <c r="H1263" s="87"/>
      <c r="I1263" s="26"/>
      <c r="J1263" s="51"/>
      <c r="K1263" s="26"/>
      <c r="L1263" s="87"/>
      <c r="M1263" s="87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87"/>
      <c r="AV1263" s="87"/>
      <c r="AW1263" s="87"/>
      <c r="AX1263" s="87"/>
      <c r="AY1263" s="87"/>
    </row>
    <row r="1264" spans="1:51" x14ac:dyDescent="0.2">
      <c r="A1264" s="87"/>
      <c r="B1264" s="26"/>
      <c r="D1264" s="26"/>
      <c r="E1264" s="26"/>
      <c r="F1264" s="26"/>
      <c r="G1264" s="26"/>
      <c r="H1264" s="87"/>
      <c r="I1264" s="26"/>
      <c r="J1264" s="51"/>
      <c r="K1264" s="26"/>
      <c r="L1264" s="87"/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  <c r="AW1264" s="87"/>
      <c r="AX1264" s="87"/>
      <c r="AY1264" s="87"/>
    </row>
    <row r="1265" spans="1:51" x14ac:dyDescent="0.2">
      <c r="A1265" s="87"/>
      <c r="B1265" s="26"/>
      <c r="D1265" s="26"/>
      <c r="E1265" s="26"/>
      <c r="F1265" s="26"/>
      <c r="G1265" s="26"/>
      <c r="H1265" s="87"/>
      <c r="I1265" s="26"/>
      <c r="J1265" s="51"/>
      <c r="K1265" s="26"/>
      <c r="L1265" s="87"/>
      <c r="M1265" s="87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  <c r="AW1265" s="87"/>
      <c r="AX1265" s="87"/>
      <c r="AY1265" s="87"/>
    </row>
    <row r="1266" spans="1:51" x14ac:dyDescent="0.2">
      <c r="A1266" s="87"/>
      <c r="B1266" s="26"/>
      <c r="D1266" s="26"/>
      <c r="E1266" s="26"/>
      <c r="F1266" s="26"/>
      <c r="G1266" s="26"/>
      <c r="H1266" s="87"/>
      <c r="I1266" s="26"/>
      <c r="J1266" s="51"/>
      <c r="K1266" s="26"/>
      <c r="L1266" s="87"/>
      <c r="M1266" s="87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  <c r="AW1266" s="87"/>
      <c r="AX1266" s="87"/>
      <c r="AY1266" s="87"/>
    </row>
    <row r="1267" spans="1:51" x14ac:dyDescent="0.2">
      <c r="A1267" s="87"/>
      <c r="B1267" s="26"/>
      <c r="D1267" s="26"/>
      <c r="E1267" s="26"/>
      <c r="F1267" s="26"/>
      <c r="G1267" s="26"/>
      <c r="H1267" s="87"/>
      <c r="I1267" s="26"/>
      <c r="J1267" s="51"/>
      <c r="K1267" s="26"/>
      <c r="L1267" s="87"/>
      <c r="M1267" s="87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  <c r="AW1267" s="87"/>
      <c r="AX1267" s="87"/>
      <c r="AY1267" s="87"/>
    </row>
    <row r="1268" spans="1:51" x14ac:dyDescent="0.2">
      <c r="A1268" s="87"/>
      <c r="B1268" s="26"/>
      <c r="D1268" s="26"/>
      <c r="E1268" s="26"/>
      <c r="F1268" s="26"/>
      <c r="G1268" s="26"/>
      <c r="H1268" s="87"/>
      <c r="I1268" s="26"/>
      <c r="J1268" s="51"/>
      <c r="K1268" s="26"/>
      <c r="L1268" s="87"/>
      <c r="M1268" s="87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  <c r="AW1268" s="87"/>
      <c r="AX1268" s="87"/>
      <c r="AY1268" s="87"/>
    </row>
    <row r="1269" spans="1:51" x14ac:dyDescent="0.2">
      <c r="A1269" s="87"/>
      <c r="B1269" s="26"/>
      <c r="D1269" s="26"/>
      <c r="E1269" s="26"/>
      <c r="F1269" s="26"/>
      <c r="G1269" s="26"/>
      <c r="H1269" s="87"/>
      <c r="I1269" s="26"/>
      <c r="J1269" s="51"/>
      <c r="K1269" s="26"/>
      <c r="L1269" s="87"/>
      <c r="M1269" s="87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  <c r="AW1269" s="87"/>
      <c r="AX1269" s="87"/>
      <c r="AY1269" s="87"/>
    </row>
    <row r="1270" spans="1:51" x14ac:dyDescent="0.2">
      <c r="A1270" s="87"/>
      <c r="B1270" s="26"/>
      <c r="D1270" s="26"/>
      <c r="E1270" s="26"/>
      <c r="F1270" s="26"/>
      <c r="G1270" s="26"/>
      <c r="H1270" s="87"/>
      <c r="I1270" s="26"/>
      <c r="J1270" s="51"/>
      <c r="K1270" s="26"/>
      <c r="L1270" s="87"/>
      <c r="M1270" s="87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87"/>
      <c r="AV1270" s="87"/>
      <c r="AW1270" s="87"/>
      <c r="AX1270" s="87"/>
      <c r="AY1270" s="87"/>
    </row>
    <row r="1271" spans="1:51" x14ac:dyDescent="0.2">
      <c r="A1271" s="87"/>
      <c r="B1271" s="26"/>
      <c r="D1271" s="26"/>
      <c r="E1271" s="26"/>
      <c r="F1271" s="26"/>
      <c r="G1271" s="26"/>
      <c r="H1271" s="87"/>
      <c r="I1271" s="26"/>
      <c r="J1271" s="51"/>
      <c r="K1271" s="26"/>
      <c r="L1271" s="87"/>
      <c r="M1271" s="87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  <c r="AW1271" s="87"/>
      <c r="AX1271" s="87"/>
      <c r="AY1271" s="87"/>
    </row>
    <row r="1272" spans="1:51" x14ac:dyDescent="0.2">
      <c r="A1272" s="87"/>
      <c r="B1272" s="26"/>
      <c r="D1272" s="26"/>
      <c r="E1272" s="26"/>
      <c r="F1272" s="26"/>
      <c r="G1272" s="26"/>
      <c r="H1272" s="87"/>
      <c r="I1272" s="26"/>
      <c r="J1272" s="51"/>
      <c r="K1272" s="26"/>
      <c r="L1272" s="87"/>
      <c r="M1272" s="87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87"/>
      <c r="AV1272" s="87"/>
      <c r="AW1272" s="87"/>
      <c r="AX1272" s="87"/>
      <c r="AY1272" s="87"/>
    </row>
    <row r="1273" spans="1:51" x14ac:dyDescent="0.2">
      <c r="A1273" s="87"/>
      <c r="B1273" s="26"/>
      <c r="D1273" s="26"/>
      <c r="E1273" s="26"/>
      <c r="F1273" s="26"/>
      <c r="G1273" s="26"/>
      <c r="H1273" s="87"/>
      <c r="I1273" s="26"/>
      <c r="J1273" s="51"/>
      <c r="K1273" s="26"/>
      <c r="L1273" s="87"/>
      <c r="M1273" s="87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  <c r="AW1273" s="87"/>
      <c r="AX1273" s="87"/>
      <c r="AY1273" s="87"/>
    </row>
    <row r="1274" spans="1:51" x14ac:dyDescent="0.2">
      <c r="A1274" s="87"/>
      <c r="B1274" s="26"/>
      <c r="D1274" s="26"/>
      <c r="E1274" s="26"/>
      <c r="F1274" s="26"/>
      <c r="G1274" s="26"/>
      <c r="H1274" s="87"/>
      <c r="I1274" s="26"/>
      <c r="J1274" s="51"/>
      <c r="K1274" s="26"/>
      <c r="L1274" s="87"/>
      <c r="M1274" s="87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  <c r="AW1274" s="87"/>
      <c r="AX1274" s="87"/>
      <c r="AY1274" s="87"/>
    </row>
    <row r="1275" spans="1:51" x14ac:dyDescent="0.2">
      <c r="A1275" s="87"/>
      <c r="B1275" s="26"/>
      <c r="D1275" s="26"/>
      <c r="E1275" s="26"/>
      <c r="F1275" s="26"/>
      <c r="G1275" s="26"/>
      <c r="H1275" s="87"/>
      <c r="I1275" s="26"/>
      <c r="J1275" s="51"/>
      <c r="K1275" s="26"/>
      <c r="L1275" s="87"/>
      <c r="M1275" s="87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87"/>
      <c r="AV1275" s="87"/>
      <c r="AW1275" s="87"/>
      <c r="AX1275" s="87"/>
      <c r="AY1275" s="87"/>
    </row>
    <row r="1276" spans="1:51" x14ac:dyDescent="0.2">
      <c r="A1276" s="87"/>
      <c r="B1276" s="26"/>
      <c r="D1276" s="26"/>
      <c r="E1276" s="26"/>
      <c r="F1276" s="26"/>
      <c r="G1276" s="26"/>
      <c r="H1276" s="87"/>
      <c r="I1276" s="26"/>
      <c r="J1276" s="51"/>
      <c r="K1276" s="26"/>
      <c r="L1276" s="87"/>
      <c r="M1276" s="87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  <c r="AW1276" s="87"/>
      <c r="AX1276" s="87"/>
      <c r="AY1276" s="87"/>
    </row>
    <row r="1277" spans="1:51" x14ac:dyDescent="0.2">
      <c r="A1277" s="87"/>
      <c r="B1277" s="26"/>
      <c r="D1277" s="26"/>
      <c r="E1277" s="26"/>
      <c r="F1277" s="26"/>
      <c r="G1277" s="26"/>
      <c r="H1277" s="87"/>
      <c r="I1277" s="26"/>
      <c r="J1277" s="51"/>
      <c r="K1277" s="26"/>
      <c r="L1277" s="87"/>
      <c r="M1277" s="87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  <c r="AW1277" s="87"/>
      <c r="AX1277" s="87"/>
      <c r="AY1277" s="87"/>
    </row>
    <row r="1278" spans="1:51" x14ac:dyDescent="0.2">
      <c r="A1278" s="87"/>
      <c r="B1278" s="26"/>
      <c r="D1278" s="26"/>
      <c r="E1278" s="26"/>
      <c r="F1278" s="26"/>
      <c r="G1278" s="26"/>
      <c r="H1278" s="87"/>
      <c r="I1278" s="26"/>
      <c r="J1278" s="51"/>
      <c r="K1278" s="26"/>
      <c r="L1278" s="87"/>
      <c r="M1278" s="87"/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  <c r="AW1278" s="87"/>
      <c r="AX1278" s="87"/>
      <c r="AY1278" s="87"/>
    </row>
    <row r="1279" spans="1:51" x14ac:dyDescent="0.2">
      <c r="A1279" s="87"/>
      <c r="B1279" s="26"/>
      <c r="D1279" s="26"/>
      <c r="E1279" s="26"/>
      <c r="F1279" s="26"/>
      <c r="G1279" s="26"/>
      <c r="H1279" s="87"/>
      <c r="I1279" s="26"/>
      <c r="J1279" s="51"/>
      <c r="K1279" s="26"/>
      <c r="L1279" s="87"/>
      <c r="M1279" s="87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  <c r="AW1279" s="87"/>
      <c r="AX1279" s="87"/>
      <c r="AY1279" s="87"/>
    </row>
    <row r="1280" spans="1:51" x14ac:dyDescent="0.2">
      <c r="A1280" s="87"/>
      <c r="B1280" s="26"/>
      <c r="D1280" s="26"/>
      <c r="E1280" s="26"/>
      <c r="F1280" s="26"/>
      <c r="G1280" s="26"/>
      <c r="H1280" s="87"/>
      <c r="I1280" s="26"/>
      <c r="J1280" s="51"/>
      <c r="K1280" s="26"/>
      <c r="L1280" s="87"/>
      <c r="M1280" s="87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87"/>
      <c r="AV1280" s="87"/>
      <c r="AW1280" s="87"/>
      <c r="AX1280" s="87"/>
      <c r="AY1280" s="87"/>
    </row>
    <row r="1281" spans="1:51" x14ac:dyDescent="0.2">
      <c r="A1281" s="87"/>
      <c r="B1281" s="26"/>
      <c r="D1281" s="26"/>
      <c r="E1281" s="26"/>
      <c r="F1281" s="26"/>
      <c r="G1281" s="26"/>
      <c r="H1281" s="87"/>
      <c r="I1281" s="26"/>
      <c r="J1281" s="51"/>
      <c r="K1281" s="26"/>
      <c r="L1281" s="87"/>
      <c r="M1281" s="87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87"/>
      <c r="AV1281" s="87"/>
      <c r="AW1281" s="87"/>
      <c r="AX1281" s="87"/>
      <c r="AY1281" s="87"/>
    </row>
    <row r="1282" spans="1:51" x14ac:dyDescent="0.2">
      <c r="A1282" s="87"/>
      <c r="B1282" s="26"/>
      <c r="D1282" s="26"/>
      <c r="E1282" s="26"/>
      <c r="F1282" s="26"/>
      <c r="G1282" s="26"/>
      <c r="H1282" s="87"/>
      <c r="I1282" s="26"/>
      <c r="J1282" s="51"/>
      <c r="K1282" s="26"/>
      <c r="L1282" s="87"/>
      <c r="M1282" s="87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87"/>
      <c r="AV1282" s="87"/>
      <c r="AW1282" s="87"/>
      <c r="AX1282" s="87"/>
      <c r="AY1282" s="87"/>
    </row>
    <row r="1283" spans="1:51" x14ac:dyDescent="0.2">
      <c r="A1283" s="87"/>
      <c r="B1283" s="26"/>
      <c r="D1283" s="26"/>
      <c r="E1283" s="26"/>
      <c r="F1283" s="26"/>
      <c r="G1283" s="26"/>
      <c r="H1283" s="87"/>
      <c r="I1283" s="26"/>
      <c r="J1283" s="51"/>
      <c r="K1283" s="26"/>
      <c r="L1283" s="87"/>
      <c r="M1283" s="87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87"/>
      <c r="AV1283" s="87"/>
      <c r="AW1283" s="87"/>
      <c r="AX1283" s="87"/>
      <c r="AY1283" s="87"/>
    </row>
    <row r="1284" spans="1:51" x14ac:dyDescent="0.2">
      <c r="A1284" s="87"/>
      <c r="B1284" s="26"/>
      <c r="D1284" s="26"/>
      <c r="E1284" s="26"/>
      <c r="F1284" s="26"/>
      <c r="G1284" s="26"/>
      <c r="H1284" s="87"/>
      <c r="I1284" s="26"/>
      <c r="J1284" s="51"/>
      <c r="K1284" s="26"/>
      <c r="L1284" s="87"/>
      <c r="M1284" s="87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87"/>
      <c r="AV1284" s="87"/>
      <c r="AW1284" s="87"/>
      <c r="AX1284" s="87"/>
      <c r="AY1284" s="87"/>
    </row>
    <row r="1285" spans="1:51" x14ac:dyDescent="0.2">
      <c r="A1285" s="87"/>
      <c r="B1285" s="26"/>
      <c r="D1285" s="26"/>
      <c r="E1285" s="26"/>
      <c r="F1285" s="26"/>
      <c r="G1285" s="26"/>
      <c r="H1285" s="87"/>
      <c r="I1285" s="26"/>
      <c r="J1285" s="51"/>
      <c r="K1285" s="26"/>
      <c r="L1285" s="87"/>
      <c r="M1285" s="87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  <c r="AW1285" s="87"/>
      <c r="AX1285" s="87"/>
      <c r="AY1285" s="87"/>
    </row>
    <row r="1286" spans="1:51" x14ac:dyDescent="0.2">
      <c r="A1286" s="87"/>
      <c r="B1286" s="26"/>
      <c r="D1286" s="26"/>
      <c r="E1286" s="26"/>
      <c r="F1286" s="26"/>
      <c r="G1286" s="26"/>
      <c r="H1286" s="87"/>
      <c r="I1286" s="26"/>
      <c r="J1286" s="51"/>
      <c r="K1286" s="26"/>
      <c r="L1286" s="87"/>
      <c r="M1286" s="87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  <c r="AW1286" s="87"/>
      <c r="AX1286" s="87"/>
      <c r="AY1286" s="87"/>
    </row>
    <row r="1287" spans="1:51" x14ac:dyDescent="0.2">
      <c r="A1287" s="87"/>
      <c r="B1287" s="26"/>
      <c r="D1287" s="26"/>
      <c r="E1287" s="26"/>
      <c r="F1287" s="26"/>
      <c r="G1287" s="26"/>
      <c r="H1287" s="87"/>
      <c r="I1287" s="26"/>
      <c r="J1287" s="51"/>
      <c r="K1287" s="26"/>
      <c r="L1287" s="87"/>
      <c r="M1287" s="87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  <c r="AW1287" s="87"/>
      <c r="AX1287" s="87"/>
      <c r="AY1287" s="87"/>
    </row>
    <row r="1288" spans="1:51" x14ac:dyDescent="0.2">
      <c r="A1288" s="87"/>
      <c r="B1288" s="26"/>
      <c r="D1288" s="26"/>
      <c r="E1288" s="26"/>
      <c r="F1288" s="26"/>
      <c r="G1288" s="26"/>
      <c r="H1288" s="87"/>
      <c r="I1288" s="26"/>
      <c r="J1288" s="51"/>
      <c r="K1288" s="26"/>
      <c r="L1288" s="87"/>
      <c r="M1288" s="87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  <c r="AW1288" s="87"/>
      <c r="AX1288" s="87"/>
      <c r="AY1288" s="87"/>
    </row>
    <row r="1289" spans="1:51" x14ac:dyDescent="0.2">
      <c r="A1289" s="87"/>
      <c r="B1289" s="26"/>
      <c r="D1289" s="26"/>
      <c r="E1289" s="26"/>
      <c r="F1289" s="26"/>
      <c r="G1289" s="26"/>
      <c r="H1289" s="87"/>
      <c r="I1289" s="26"/>
      <c r="J1289" s="51"/>
      <c r="K1289" s="26"/>
      <c r="L1289" s="87"/>
      <c r="M1289" s="87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87"/>
      <c r="AV1289" s="87"/>
      <c r="AW1289" s="87"/>
      <c r="AX1289" s="87"/>
      <c r="AY1289" s="87"/>
    </row>
    <row r="1290" spans="1:51" x14ac:dyDescent="0.2">
      <c r="A1290" s="87"/>
      <c r="B1290" s="26"/>
      <c r="D1290" s="26"/>
      <c r="E1290" s="26"/>
      <c r="F1290" s="26"/>
      <c r="G1290" s="26"/>
      <c r="H1290" s="87"/>
      <c r="I1290" s="26"/>
      <c r="J1290" s="51"/>
      <c r="K1290" s="26"/>
      <c r="L1290" s="87"/>
      <c r="M1290" s="87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  <c r="AW1290" s="87"/>
      <c r="AX1290" s="87"/>
      <c r="AY1290" s="87"/>
    </row>
    <row r="1291" spans="1:51" x14ac:dyDescent="0.2">
      <c r="A1291" s="87"/>
      <c r="B1291" s="26"/>
      <c r="D1291" s="26"/>
      <c r="E1291" s="26"/>
      <c r="F1291" s="26"/>
      <c r="G1291" s="26"/>
      <c r="H1291" s="87"/>
      <c r="I1291" s="26"/>
      <c r="J1291" s="51"/>
      <c r="K1291" s="26"/>
      <c r="L1291" s="87"/>
      <c r="M1291" s="87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  <c r="AW1291" s="87"/>
      <c r="AX1291" s="87"/>
      <c r="AY1291" s="87"/>
    </row>
    <row r="1292" spans="1:51" x14ac:dyDescent="0.2">
      <c r="A1292" s="87"/>
      <c r="B1292" s="26"/>
      <c r="D1292" s="26"/>
      <c r="E1292" s="26"/>
      <c r="F1292" s="26"/>
      <c r="G1292" s="26"/>
      <c r="H1292" s="87"/>
      <c r="I1292" s="26"/>
      <c r="J1292" s="51"/>
      <c r="K1292" s="26"/>
      <c r="L1292" s="87"/>
      <c r="M1292" s="87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</row>
    <row r="1293" spans="1:51" x14ac:dyDescent="0.2">
      <c r="A1293" s="87"/>
      <c r="B1293" s="26"/>
      <c r="D1293" s="26"/>
      <c r="E1293" s="26"/>
      <c r="F1293" s="26"/>
      <c r="G1293" s="26"/>
      <c r="H1293" s="87"/>
      <c r="I1293" s="26"/>
      <c r="J1293" s="51"/>
      <c r="K1293" s="26"/>
      <c r="L1293" s="87"/>
      <c r="M1293" s="87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  <c r="AW1293" s="87"/>
      <c r="AX1293" s="87"/>
      <c r="AY1293" s="87"/>
    </row>
    <row r="1294" spans="1:51" x14ac:dyDescent="0.2">
      <c r="A1294" s="87"/>
      <c r="B1294" s="26"/>
      <c r="D1294" s="26"/>
      <c r="E1294" s="26"/>
      <c r="F1294" s="26"/>
      <c r="G1294" s="26"/>
      <c r="H1294" s="87"/>
      <c r="I1294" s="26"/>
      <c r="J1294" s="51"/>
      <c r="K1294" s="26"/>
      <c r="L1294" s="87"/>
      <c r="M1294" s="87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87"/>
      <c r="AV1294" s="87"/>
      <c r="AW1294" s="87"/>
      <c r="AX1294" s="87"/>
      <c r="AY1294" s="87"/>
    </row>
    <row r="1295" spans="1:51" x14ac:dyDescent="0.2">
      <c r="A1295" s="87"/>
      <c r="B1295" s="26"/>
      <c r="D1295" s="26"/>
      <c r="E1295" s="26"/>
      <c r="F1295" s="26"/>
      <c r="G1295" s="26"/>
      <c r="H1295" s="87"/>
      <c r="I1295" s="26"/>
      <c r="J1295" s="51"/>
      <c r="K1295" s="26"/>
      <c r="L1295" s="87"/>
      <c r="M1295" s="87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  <c r="AW1295" s="87"/>
      <c r="AX1295" s="87"/>
      <c r="AY1295" s="87"/>
    </row>
    <row r="1296" spans="1:51" x14ac:dyDescent="0.2">
      <c r="A1296" s="87"/>
      <c r="B1296" s="26"/>
      <c r="D1296" s="26"/>
      <c r="E1296" s="26"/>
      <c r="F1296" s="26"/>
      <c r="G1296" s="26"/>
      <c r="H1296" s="87"/>
      <c r="I1296" s="26"/>
      <c r="J1296" s="51"/>
      <c r="K1296" s="26"/>
      <c r="L1296" s="87"/>
      <c r="M1296" s="87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</row>
    <row r="1297" spans="1:51" x14ac:dyDescent="0.2">
      <c r="A1297" s="87"/>
      <c r="B1297" s="26"/>
      <c r="D1297" s="26"/>
      <c r="E1297" s="26"/>
      <c r="F1297" s="26"/>
      <c r="G1297" s="26"/>
      <c r="H1297" s="87"/>
      <c r="I1297" s="26"/>
      <c r="J1297" s="51"/>
      <c r="K1297" s="26"/>
      <c r="L1297" s="87"/>
      <c r="M1297" s="87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  <c r="AW1297" s="87"/>
      <c r="AX1297" s="87"/>
      <c r="AY1297" s="87"/>
    </row>
    <row r="1298" spans="1:51" x14ac:dyDescent="0.2">
      <c r="A1298" s="87"/>
      <c r="B1298" s="26"/>
      <c r="D1298" s="26"/>
      <c r="E1298" s="26"/>
      <c r="F1298" s="26"/>
      <c r="G1298" s="26"/>
      <c r="H1298" s="87"/>
      <c r="I1298" s="26"/>
      <c r="J1298" s="51"/>
      <c r="K1298" s="26"/>
      <c r="L1298" s="87"/>
      <c r="M1298" s="87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  <c r="AW1298" s="87"/>
      <c r="AX1298" s="87"/>
      <c r="AY1298" s="87"/>
    </row>
    <row r="1299" spans="1:51" x14ac:dyDescent="0.2">
      <c r="A1299" s="87"/>
      <c r="B1299" s="26"/>
      <c r="D1299" s="26"/>
      <c r="E1299" s="26"/>
      <c r="F1299" s="26"/>
      <c r="G1299" s="26"/>
      <c r="H1299" s="87"/>
      <c r="I1299" s="26"/>
      <c r="J1299" s="51"/>
      <c r="K1299" s="26"/>
      <c r="L1299" s="87"/>
      <c r="M1299" s="87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87"/>
      <c r="AV1299" s="87"/>
      <c r="AW1299" s="87"/>
      <c r="AX1299" s="87"/>
      <c r="AY1299" s="87"/>
    </row>
    <row r="1300" spans="1:51" x14ac:dyDescent="0.2">
      <c r="A1300" s="87"/>
      <c r="B1300" s="26"/>
      <c r="D1300" s="26"/>
      <c r="E1300" s="26"/>
      <c r="F1300" s="26"/>
      <c r="G1300" s="26"/>
      <c r="H1300" s="87"/>
      <c r="I1300" s="26"/>
      <c r="J1300" s="51"/>
      <c r="K1300" s="26"/>
      <c r="L1300" s="87"/>
      <c r="M1300" s="87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  <c r="AW1300" s="87"/>
      <c r="AX1300" s="87"/>
      <c r="AY1300" s="87"/>
    </row>
    <row r="1301" spans="1:51" x14ac:dyDescent="0.2">
      <c r="A1301" s="87"/>
      <c r="B1301" s="26"/>
      <c r="D1301" s="26"/>
      <c r="E1301" s="26"/>
      <c r="F1301" s="26"/>
      <c r="G1301" s="26"/>
      <c r="H1301" s="87"/>
      <c r="I1301" s="26"/>
      <c r="J1301" s="51"/>
      <c r="K1301" s="26"/>
      <c r="L1301" s="87"/>
      <c r="M1301" s="87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87"/>
      <c r="AV1301" s="87"/>
      <c r="AW1301" s="87"/>
      <c r="AX1301" s="87"/>
      <c r="AY1301" s="87"/>
    </row>
    <row r="1302" spans="1:51" x14ac:dyDescent="0.2">
      <c r="A1302" s="87"/>
      <c r="B1302" s="26"/>
      <c r="D1302" s="26"/>
      <c r="E1302" s="26"/>
      <c r="F1302" s="26"/>
      <c r="G1302" s="26"/>
      <c r="H1302" s="87"/>
      <c r="I1302" s="26"/>
      <c r="J1302" s="51"/>
      <c r="K1302" s="26"/>
      <c r="L1302" s="87"/>
      <c r="M1302" s="87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  <c r="AW1302" s="87"/>
      <c r="AX1302" s="87"/>
      <c r="AY1302" s="87"/>
    </row>
    <row r="1303" spans="1:51" x14ac:dyDescent="0.2">
      <c r="A1303" s="87"/>
      <c r="B1303" s="26"/>
      <c r="D1303" s="26"/>
      <c r="E1303" s="26"/>
      <c r="F1303" s="26"/>
      <c r="G1303" s="26"/>
      <c r="H1303" s="87"/>
      <c r="I1303" s="26"/>
      <c r="J1303" s="51"/>
      <c r="K1303" s="26"/>
      <c r="L1303" s="87"/>
      <c r="M1303" s="87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  <c r="AW1303" s="87"/>
      <c r="AX1303" s="87"/>
      <c r="AY1303" s="87"/>
    </row>
    <row r="1304" spans="1:51" x14ac:dyDescent="0.2">
      <c r="A1304" s="87"/>
      <c r="B1304" s="26"/>
      <c r="D1304" s="26"/>
      <c r="E1304" s="26"/>
      <c r="F1304" s="26"/>
      <c r="G1304" s="26"/>
      <c r="H1304" s="87"/>
      <c r="I1304" s="26"/>
      <c r="J1304" s="51"/>
      <c r="K1304" s="26"/>
      <c r="L1304" s="87"/>
      <c r="M1304" s="87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87"/>
      <c r="AV1304" s="87"/>
      <c r="AW1304" s="87"/>
      <c r="AX1304" s="87"/>
      <c r="AY1304" s="87"/>
    </row>
    <row r="1305" spans="1:51" x14ac:dyDescent="0.2">
      <c r="A1305" s="87"/>
      <c r="B1305" s="26"/>
      <c r="D1305" s="26"/>
      <c r="E1305" s="26"/>
      <c r="F1305" s="26"/>
      <c r="G1305" s="26"/>
      <c r="H1305" s="87"/>
      <c r="I1305" s="26"/>
      <c r="J1305" s="51"/>
      <c r="K1305" s="26"/>
      <c r="L1305" s="87"/>
      <c r="M1305" s="87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87"/>
      <c r="AV1305" s="87"/>
      <c r="AW1305" s="87"/>
      <c r="AX1305" s="87"/>
      <c r="AY1305" s="87"/>
    </row>
    <row r="1306" spans="1:51" x14ac:dyDescent="0.2">
      <c r="A1306" s="87"/>
      <c r="B1306" s="26"/>
      <c r="D1306" s="26"/>
      <c r="E1306" s="26"/>
      <c r="F1306" s="26"/>
      <c r="G1306" s="26"/>
      <c r="H1306" s="87"/>
      <c r="I1306" s="26"/>
      <c r="J1306" s="51"/>
      <c r="K1306" s="26"/>
      <c r="L1306" s="87"/>
      <c r="M1306" s="87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87"/>
      <c r="AV1306" s="87"/>
      <c r="AW1306" s="87"/>
      <c r="AX1306" s="87"/>
      <c r="AY1306" s="87"/>
    </row>
    <row r="1307" spans="1:51" x14ac:dyDescent="0.2">
      <c r="A1307" s="87"/>
      <c r="B1307" s="26"/>
      <c r="D1307" s="26"/>
      <c r="E1307" s="26"/>
      <c r="F1307" s="26"/>
      <c r="G1307" s="26"/>
      <c r="H1307" s="87"/>
      <c r="I1307" s="26"/>
      <c r="J1307" s="51"/>
      <c r="K1307" s="26"/>
      <c r="L1307" s="87"/>
      <c r="M1307" s="87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  <c r="AW1307" s="87"/>
      <c r="AX1307" s="87"/>
      <c r="AY1307" s="87"/>
    </row>
    <row r="1308" spans="1:51" x14ac:dyDescent="0.2">
      <c r="A1308" s="87"/>
      <c r="B1308" s="26"/>
      <c r="D1308" s="26"/>
      <c r="E1308" s="26"/>
      <c r="F1308" s="26"/>
      <c r="G1308" s="26"/>
      <c r="H1308" s="87"/>
      <c r="I1308" s="26"/>
      <c r="J1308" s="51"/>
      <c r="K1308" s="26"/>
      <c r="L1308" s="87"/>
      <c r="M1308" s="87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  <c r="AW1308" s="87"/>
      <c r="AX1308" s="87"/>
      <c r="AY1308" s="87"/>
    </row>
    <row r="1309" spans="1:51" x14ac:dyDescent="0.2">
      <c r="A1309" s="87"/>
      <c r="B1309" s="26"/>
      <c r="D1309" s="26"/>
      <c r="E1309" s="26"/>
      <c r="F1309" s="26"/>
      <c r="G1309" s="26"/>
      <c r="H1309" s="87"/>
      <c r="I1309" s="26"/>
      <c r="J1309" s="51"/>
      <c r="K1309" s="26"/>
      <c r="L1309" s="87"/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87"/>
      <c r="AV1309" s="87"/>
      <c r="AW1309" s="87"/>
      <c r="AX1309" s="87"/>
      <c r="AY1309" s="87"/>
    </row>
    <row r="1310" spans="1:51" x14ac:dyDescent="0.2">
      <c r="A1310" s="87"/>
      <c r="B1310" s="26"/>
      <c r="D1310" s="26"/>
      <c r="E1310" s="26"/>
      <c r="F1310" s="26"/>
      <c r="G1310" s="26"/>
      <c r="H1310" s="87"/>
      <c r="I1310" s="26"/>
      <c r="J1310" s="51"/>
      <c r="K1310" s="26"/>
      <c r="L1310" s="87"/>
      <c r="M1310" s="87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  <c r="AW1310" s="87"/>
      <c r="AX1310" s="87"/>
      <c r="AY1310" s="87"/>
    </row>
    <row r="1311" spans="1:51" x14ac:dyDescent="0.2">
      <c r="A1311" s="87"/>
      <c r="B1311" s="26"/>
      <c r="D1311" s="26"/>
      <c r="E1311" s="26"/>
      <c r="F1311" s="26"/>
      <c r="G1311" s="26"/>
      <c r="H1311" s="87"/>
      <c r="I1311" s="26"/>
      <c r="J1311" s="51"/>
      <c r="K1311" s="26"/>
      <c r="L1311" s="87"/>
      <c r="M1311" s="87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  <c r="AW1311" s="87"/>
      <c r="AX1311" s="87"/>
      <c r="AY1311" s="87"/>
    </row>
    <row r="1312" spans="1:51" x14ac:dyDescent="0.2">
      <c r="A1312" s="87"/>
      <c r="B1312" s="26"/>
      <c r="D1312" s="26"/>
      <c r="E1312" s="26"/>
      <c r="F1312" s="26"/>
      <c r="G1312" s="26"/>
      <c r="H1312" s="87"/>
      <c r="I1312" s="26"/>
      <c r="J1312" s="51"/>
      <c r="K1312" s="26"/>
      <c r="L1312" s="87"/>
      <c r="M1312" s="87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  <c r="AW1312" s="87"/>
      <c r="AX1312" s="87"/>
      <c r="AY1312" s="87"/>
    </row>
    <row r="1313" spans="1:51" x14ac:dyDescent="0.2">
      <c r="A1313" s="87"/>
      <c r="B1313" s="26"/>
      <c r="D1313" s="26"/>
      <c r="E1313" s="26"/>
      <c r="F1313" s="26"/>
      <c r="G1313" s="26"/>
      <c r="H1313" s="87"/>
      <c r="I1313" s="26"/>
      <c r="J1313" s="51"/>
      <c r="K1313" s="26"/>
      <c r="L1313" s="87"/>
      <c r="M1313" s="87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87"/>
      <c r="AV1313" s="87"/>
      <c r="AW1313" s="87"/>
      <c r="AX1313" s="87"/>
      <c r="AY1313" s="87"/>
    </row>
    <row r="1314" spans="1:51" x14ac:dyDescent="0.2">
      <c r="A1314" s="87"/>
      <c r="B1314" s="26"/>
      <c r="D1314" s="26"/>
      <c r="E1314" s="26"/>
      <c r="F1314" s="26"/>
      <c r="G1314" s="26"/>
      <c r="H1314" s="87"/>
      <c r="I1314" s="26"/>
      <c r="J1314" s="51"/>
      <c r="K1314" s="26"/>
      <c r="L1314" s="87"/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  <c r="AW1314" s="87"/>
      <c r="AX1314" s="87"/>
      <c r="AY1314" s="87"/>
    </row>
    <row r="1315" spans="1:51" x14ac:dyDescent="0.2">
      <c r="A1315" s="87"/>
      <c r="B1315" s="26"/>
      <c r="D1315" s="26"/>
      <c r="E1315" s="26"/>
      <c r="F1315" s="26"/>
      <c r="G1315" s="26"/>
      <c r="H1315" s="87"/>
      <c r="I1315" s="26"/>
      <c r="J1315" s="51"/>
      <c r="K1315" s="26"/>
      <c r="L1315" s="87"/>
      <c r="M1315" s="87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87"/>
      <c r="AV1315" s="87"/>
      <c r="AW1315" s="87"/>
      <c r="AX1315" s="87"/>
      <c r="AY1315" s="87"/>
    </row>
    <row r="1316" spans="1:51" x14ac:dyDescent="0.2">
      <c r="A1316" s="87"/>
      <c r="B1316" s="26"/>
      <c r="D1316" s="26"/>
      <c r="E1316" s="26"/>
      <c r="F1316" s="26"/>
      <c r="G1316" s="26"/>
      <c r="H1316" s="87"/>
      <c r="I1316" s="26"/>
      <c r="J1316" s="51"/>
      <c r="K1316" s="26"/>
      <c r="L1316" s="87"/>
      <c r="M1316" s="87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  <c r="AW1316" s="87"/>
      <c r="AX1316" s="87"/>
      <c r="AY1316" s="87"/>
    </row>
    <row r="1317" spans="1:51" x14ac:dyDescent="0.2">
      <c r="A1317" s="87"/>
      <c r="B1317" s="26"/>
      <c r="D1317" s="26"/>
      <c r="E1317" s="26"/>
      <c r="F1317" s="26"/>
      <c r="G1317" s="26"/>
      <c r="H1317" s="87"/>
      <c r="I1317" s="26"/>
      <c r="J1317" s="51"/>
      <c r="K1317" s="26"/>
      <c r="L1317" s="87"/>
      <c r="M1317" s="87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  <c r="AW1317" s="87"/>
      <c r="AX1317" s="87"/>
      <c r="AY1317" s="87"/>
    </row>
    <row r="1318" spans="1:51" x14ac:dyDescent="0.2">
      <c r="A1318" s="87"/>
      <c r="B1318" s="26"/>
      <c r="D1318" s="26"/>
      <c r="E1318" s="26"/>
      <c r="F1318" s="26"/>
      <c r="G1318" s="26"/>
      <c r="H1318" s="87"/>
      <c r="I1318" s="26"/>
      <c r="J1318" s="51"/>
      <c r="K1318" s="26"/>
      <c r="L1318" s="87"/>
      <c r="M1318" s="87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87"/>
      <c r="AV1318" s="87"/>
      <c r="AW1318" s="87"/>
      <c r="AX1318" s="87"/>
      <c r="AY1318" s="87"/>
    </row>
    <row r="1319" spans="1:51" x14ac:dyDescent="0.2">
      <c r="A1319" s="87"/>
      <c r="B1319" s="26"/>
      <c r="D1319" s="26"/>
      <c r="E1319" s="26"/>
      <c r="F1319" s="26"/>
      <c r="G1319" s="26"/>
      <c r="H1319" s="87"/>
      <c r="I1319" s="26"/>
      <c r="J1319" s="51"/>
      <c r="K1319" s="26"/>
      <c r="L1319" s="87"/>
      <c r="M1319" s="87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  <c r="AW1319" s="87"/>
      <c r="AX1319" s="87"/>
      <c r="AY1319" s="87"/>
    </row>
    <row r="1320" spans="1:51" x14ac:dyDescent="0.2">
      <c r="A1320" s="87"/>
      <c r="B1320" s="26"/>
      <c r="D1320" s="26"/>
      <c r="E1320" s="26"/>
      <c r="F1320" s="26"/>
      <c r="G1320" s="26"/>
      <c r="H1320" s="87"/>
      <c r="I1320" s="26"/>
      <c r="J1320" s="51"/>
      <c r="K1320" s="26"/>
      <c r="L1320" s="87"/>
      <c r="M1320" s="87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87"/>
      <c r="AV1320" s="87"/>
      <c r="AW1320" s="87"/>
      <c r="AX1320" s="87"/>
      <c r="AY1320" s="87"/>
    </row>
    <row r="1321" spans="1:51" x14ac:dyDescent="0.2">
      <c r="A1321" s="87"/>
      <c r="B1321" s="26"/>
      <c r="D1321" s="26"/>
      <c r="E1321" s="26"/>
      <c r="F1321" s="26"/>
      <c r="G1321" s="26"/>
      <c r="H1321" s="87"/>
      <c r="I1321" s="26"/>
      <c r="J1321" s="51"/>
      <c r="K1321" s="26"/>
      <c r="L1321" s="87"/>
      <c r="M1321" s="87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  <c r="AW1321" s="87"/>
      <c r="AX1321" s="87"/>
      <c r="AY1321" s="87"/>
    </row>
    <row r="1322" spans="1:51" x14ac:dyDescent="0.2">
      <c r="A1322" s="87"/>
      <c r="B1322" s="26"/>
      <c r="D1322" s="26"/>
      <c r="E1322" s="26"/>
      <c r="F1322" s="26"/>
      <c r="G1322" s="26"/>
      <c r="H1322" s="87"/>
      <c r="I1322" s="26"/>
      <c r="J1322" s="51"/>
      <c r="K1322" s="26"/>
      <c r="L1322" s="87"/>
      <c r="M1322" s="87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  <c r="AW1322" s="87"/>
      <c r="AX1322" s="87"/>
      <c r="AY1322" s="87"/>
    </row>
    <row r="1323" spans="1:51" x14ac:dyDescent="0.2">
      <c r="A1323" s="87"/>
      <c r="B1323" s="26"/>
      <c r="D1323" s="26"/>
      <c r="E1323" s="26"/>
      <c r="F1323" s="26"/>
      <c r="G1323" s="26"/>
      <c r="H1323" s="87"/>
      <c r="I1323" s="26"/>
      <c r="J1323" s="51"/>
      <c r="K1323" s="26"/>
      <c r="L1323" s="87"/>
      <c r="M1323" s="87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  <c r="AW1323" s="87"/>
      <c r="AX1323" s="87"/>
      <c r="AY1323" s="87"/>
    </row>
    <row r="1324" spans="1:51" x14ac:dyDescent="0.2">
      <c r="A1324" s="87"/>
      <c r="B1324" s="26"/>
      <c r="D1324" s="26"/>
      <c r="E1324" s="26"/>
      <c r="F1324" s="26"/>
      <c r="G1324" s="26"/>
      <c r="H1324" s="87"/>
      <c r="I1324" s="26"/>
      <c r="J1324" s="51"/>
      <c r="K1324" s="26"/>
      <c r="L1324" s="87"/>
      <c r="M1324" s="87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</row>
    <row r="1325" spans="1:51" x14ac:dyDescent="0.2">
      <c r="A1325" s="87"/>
      <c r="B1325" s="26"/>
      <c r="D1325" s="26"/>
      <c r="E1325" s="26"/>
      <c r="F1325" s="26"/>
      <c r="G1325" s="26"/>
      <c r="H1325" s="87"/>
      <c r="I1325" s="26"/>
      <c r="J1325" s="51"/>
      <c r="K1325" s="26"/>
      <c r="L1325" s="87"/>
      <c r="M1325" s="87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  <c r="AW1325" s="87"/>
      <c r="AX1325" s="87"/>
      <c r="AY1325" s="87"/>
    </row>
    <row r="1326" spans="1:51" x14ac:dyDescent="0.2">
      <c r="A1326" s="87"/>
      <c r="B1326" s="26"/>
      <c r="D1326" s="26"/>
      <c r="E1326" s="26"/>
      <c r="F1326" s="26"/>
      <c r="G1326" s="26"/>
      <c r="H1326" s="87"/>
      <c r="I1326" s="26"/>
      <c r="J1326" s="51"/>
      <c r="K1326" s="26"/>
      <c r="L1326" s="87"/>
      <c r="M1326" s="87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87"/>
      <c r="AV1326" s="87"/>
      <c r="AW1326" s="87"/>
      <c r="AX1326" s="87"/>
      <c r="AY1326" s="87"/>
    </row>
    <row r="1327" spans="1:51" x14ac:dyDescent="0.2">
      <c r="A1327" s="87"/>
      <c r="B1327" s="26"/>
      <c r="D1327" s="26"/>
      <c r="E1327" s="26"/>
      <c r="F1327" s="26"/>
      <c r="G1327" s="26"/>
      <c r="H1327" s="87"/>
      <c r="I1327" s="26"/>
      <c r="J1327" s="51"/>
      <c r="K1327" s="26"/>
      <c r="L1327" s="87"/>
      <c r="M1327" s="87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  <c r="AW1327" s="87"/>
      <c r="AX1327" s="87"/>
      <c r="AY1327" s="87"/>
    </row>
    <row r="1328" spans="1:51" x14ac:dyDescent="0.2">
      <c r="A1328" s="87"/>
      <c r="B1328" s="26"/>
      <c r="D1328" s="26"/>
      <c r="E1328" s="26"/>
      <c r="F1328" s="26"/>
      <c r="G1328" s="26"/>
      <c r="H1328" s="87"/>
      <c r="I1328" s="26"/>
      <c r="J1328" s="51"/>
      <c r="K1328" s="26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/>
      <c r="AV1328" s="87"/>
      <c r="AW1328" s="87"/>
      <c r="AX1328" s="87"/>
      <c r="AY1328" s="87"/>
    </row>
    <row r="1329" spans="1:51" x14ac:dyDescent="0.2">
      <c r="A1329" s="87"/>
      <c r="B1329" s="26"/>
      <c r="D1329" s="26"/>
      <c r="E1329" s="26"/>
      <c r="F1329" s="26"/>
      <c r="G1329" s="26"/>
      <c r="H1329" s="87"/>
      <c r="I1329" s="26"/>
      <c r="J1329" s="51"/>
      <c r="K1329" s="26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/>
      <c r="AV1329" s="87"/>
      <c r="AW1329" s="87"/>
      <c r="AX1329" s="87"/>
      <c r="AY1329" s="87"/>
    </row>
    <row r="1330" spans="1:51" x14ac:dyDescent="0.2">
      <c r="A1330" s="87"/>
      <c r="B1330" s="26"/>
      <c r="D1330" s="26"/>
      <c r="E1330" s="26"/>
      <c r="F1330" s="26"/>
      <c r="G1330" s="26"/>
      <c r="H1330" s="87"/>
      <c r="I1330" s="26"/>
      <c r="J1330" s="51"/>
      <c r="K1330" s="26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87"/>
      <c r="AV1330" s="87"/>
      <c r="AW1330" s="87"/>
      <c r="AX1330" s="87"/>
      <c r="AY1330" s="87"/>
    </row>
    <row r="1331" spans="1:51" x14ac:dyDescent="0.2">
      <c r="A1331" s="87"/>
      <c r="B1331" s="26"/>
      <c r="D1331" s="26"/>
      <c r="E1331" s="26"/>
      <c r="F1331" s="26"/>
      <c r="G1331" s="26"/>
      <c r="H1331" s="87"/>
      <c r="I1331" s="26"/>
      <c r="J1331" s="51"/>
      <c r="K1331" s="26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  <c r="AW1331" s="87"/>
      <c r="AX1331" s="87"/>
      <c r="AY1331" s="87"/>
    </row>
    <row r="1332" spans="1:51" x14ac:dyDescent="0.2">
      <c r="A1332" s="87"/>
      <c r="B1332" s="26"/>
      <c r="D1332" s="26"/>
      <c r="E1332" s="26"/>
      <c r="F1332" s="26"/>
      <c r="G1332" s="26"/>
      <c r="H1332" s="87"/>
      <c r="I1332" s="26"/>
      <c r="J1332" s="51"/>
      <c r="K1332" s="26"/>
      <c r="L1332" s="87"/>
      <c r="M1332" s="87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87"/>
      <c r="AV1332" s="87"/>
      <c r="AW1332" s="87"/>
      <c r="AX1332" s="87"/>
      <c r="AY1332" s="87"/>
    </row>
    <row r="1333" spans="1:51" x14ac:dyDescent="0.2">
      <c r="A1333" s="87"/>
      <c r="B1333" s="26"/>
      <c r="D1333" s="26"/>
      <c r="E1333" s="26"/>
      <c r="F1333" s="26"/>
      <c r="G1333" s="26"/>
      <c r="H1333" s="87"/>
      <c r="I1333" s="26"/>
      <c r="J1333" s="51"/>
      <c r="K1333" s="26"/>
      <c r="L1333" s="87"/>
      <c r="M1333" s="87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  <c r="AW1333" s="87"/>
      <c r="AX1333" s="87"/>
      <c r="AY1333" s="87"/>
    </row>
    <row r="1334" spans="1:51" x14ac:dyDescent="0.2">
      <c r="A1334" s="87"/>
      <c r="B1334" s="26"/>
      <c r="D1334" s="26"/>
      <c r="E1334" s="26"/>
      <c r="F1334" s="26"/>
      <c r="G1334" s="26"/>
      <c r="H1334" s="87"/>
      <c r="I1334" s="26"/>
      <c r="J1334" s="51"/>
      <c r="K1334" s="26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87"/>
      <c r="AV1334" s="87"/>
      <c r="AW1334" s="87"/>
      <c r="AX1334" s="87"/>
      <c r="AY1334" s="87"/>
    </row>
    <row r="1335" spans="1:51" x14ac:dyDescent="0.2">
      <c r="A1335" s="87"/>
      <c r="B1335" s="26"/>
      <c r="D1335" s="26"/>
      <c r="E1335" s="26"/>
      <c r="F1335" s="26"/>
      <c r="G1335" s="26"/>
      <c r="H1335" s="87"/>
      <c r="I1335" s="26"/>
      <c r="J1335" s="51"/>
      <c r="K1335" s="26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  <c r="AW1335" s="87"/>
      <c r="AX1335" s="87"/>
      <c r="AY1335" s="87"/>
    </row>
    <row r="1336" spans="1:51" x14ac:dyDescent="0.2">
      <c r="A1336" s="87"/>
      <c r="B1336" s="26"/>
      <c r="D1336" s="26"/>
      <c r="E1336" s="26"/>
      <c r="F1336" s="26"/>
      <c r="G1336" s="26"/>
      <c r="H1336" s="87"/>
      <c r="I1336" s="26"/>
      <c r="J1336" s="51"/>
      <c r="K1336" s="26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87"/>
      <c r="AV1336" s="87"/>
      <c r="AW1336" s="87"/>
      <c r="AX1336" s="87"/>
      <c r="AY1336" s="87"/>
    </row>
    <row r="1337" spans="1:51" x14ac:dyDescent="0.2">
      <c r="A1337" s="87"/>
      <c r="B1337" s="26"/>
      <c r="D1337" s="26"/>
      <c r="E1337" s="26"/>
      <c r="F1337" s="26"/>
      <c r="G1337" s="26"/>
      <c r="H1337" s="87"/>
      <c r="I1337" s="26"/>
      <c r="J1337" s="51"/>
      <c r="K1337" s="26"/>
      <c r="L1337" s="87"/>
      <c r="M1337" s="87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  <c r="AW1337" s="87"/>
      <c r="AX1337" s="87"/>
      <c r="AY1337" s="87"/>
    </row>
    <row r="1338" spans="1:51" x14ac:dyDescent="0.2">
      <c r="A1338" s="87"/>
      <c r="B1338" s="26"/>
      <c r="D1338" s="26"/>
      <c r="E1338" s="26"/>
      <c r="F1338" s="26"/>
      <c r="G1338" s="26"/>
      <c r="H1338" s="87"/>
      <c r="I1338" s="26"/>
      <c r="J1338" s="51"/>
      <c r="K1338" s="26"/>
      <c r="L1338" s="87"/>
      <c r="M1338" s="87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87"/>
      <c r="AV1338" s="87"/>
      <c r="AW1338" s="87"/>
      <c r="AX1338" s="87"/>
      <c r="AY1338" s="87"/>
    </row>
    <row r="1339" spans="1:51" x14ac:dyDescent="0.2">
      <c r="A1339" s="87"/>
      <c r="B1339" s="26"/>
      <c r="D1339" s="26"/>
      <c r="E1339" s="26"/>
      <c r="F1339" s="26"/>
      <c r="G1339" s="26"/>
      <c r="H1339" s="87"/>
      <c r="I1339" s="26"/>
      <c r="J1339" s="51"/>
      <c r="K1339" s="26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  <c r="AW1339" s="87"/>
      <c r="AX1339" s="87"/>
      <c r="AY1339" s="87"/>
    </row>
    <row r="1340" spans="1:51" x14ac:dyDescent="0.2">
      <c r="A1340" s="87"/>
      <c r="B1340" s="26"/>
      <c r="D1340" s="26"/>
      <c r="E1340" s="26"/>
      <c r="F1340" s="26"/>
      <c r="G1340" s="26"/>
      <c r="H1340" s="87"/>
      <c r="I1340" s="26"/>
      <c r="J1340" s="51"/>
      <c r="K1340" s="26"/>
      <c r="L1340" s="87"/>
      <c r="M1340" s="87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87"/>
      <c r="AV1340" s="87"/>
      <c r="AW1340" s="87"/>
      <c r="AX1340" s="87"/>
      <c r="AY1340" s="87"/>
    </row>
    <row r="1341" spans="1:51" x14ac:dyDescent="0.2">
      <c r="A1341" s="87"/>
      <c r="B1341" s="26"/>
      <c r="D1341" s="26"/>
      <c r="E1341" s="26"/>
      <c r="F1341" s="26"/>
      <c r="G1341" s="26"/>
      <c r="H1341" s="87"/>
      <c r="I1341" s="26"/>
      <c r="J1341" s="51"/>
      <c r="K1341" s="26"/>
      <c r="L1341" s="87"/>
      <c r="M1341" s="87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87"/>
      <c r="AV1341" s="87"/>
      <c r="AW1341" s="87"/>
      <c r="AX1341" s="87"/>
      <c r="AY1341" s="87"/>
    </row>
    <row r="1342" spans="1:51" x14ac:dyDescent="0.2">
      <c r="A1342" s="87"/>
      <c r="B1342" s="26"/>
      <c r="D1342" s="26"/>
      <c r="E1342" s="26"/>
      <c r="F1342" s="26"/>
      <c r="G1342" s="26"/>
      <c r="H1342" s="87"/>
      <c r="I1342" s="26"/>
      <c r="J1342" s="51"/>
      <c r="K1342" s="26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  <c r="AW1342" s="87"/>
      <c r="AX1342" s="87"/>
      <c r="AY1342" s="87"/>
    </row>
    <row r="1343" spans="1:51" x14ac:dyDescent="0.2">
      <c r="A1343" s="87"/>
      <c r="B1343" s="26"/>
      <c r="D1343" s="26"/>
      <c r="E1343" s="26"/>
      <c r="F1343" s="26"/>
      <c r="G1343" s="26"/>
      <c r="H1343" s="87"/>
      <c r="I1343" s="26"/>
      <c r="J1343" s="51"/>
      <c r="K1343" s="26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87"/>
      <c r="AV1343" s="87"/>
      <c r="AW1343" s="87"/>
      <c r="AX1343" s="87"/>
      <c r="AY1343" s="87"/>
    </row>
    <row r="1344" spans="1:51" x14ac:dyDescent="0.2">
      <c r="A1344" s="87"/>
      <c r="B1344" s="26"/>
      <c r="D1344" s="26"/>
      <c r="E1344" s="26"/>
      <c r="F1344" s="26"/>
      <c r="G1344" s="26"/>
      <c r="H1344" s="87"/>
      <c r="I1344" s="26"/>
      <c r="J1344" s="51"/>
      <c r="K1344" s="26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87"/>
      <c r="AV1344" s="87"/>
      <c r="AW1344" s="87"/>
      <c r="AX1344" s="87"/>
      <c r="AY1344" s="87"/>
    </row>
    <row r="1345" spans="1:51" x14ac:dyDescent="0.2">
      <c r="A1345" s="87"/>
      <c r="B1345" s="26"/>
      <c r="D1345" s="26"/>
      <c r="E1345" s="26"/>
      <c r="F1345" s="26"/>
      <c r="G1345" s="26"/>
      <c r="H1345" s="87"/>
      <c r="I1345" s="26"/>
      <c r="J1345" s="51"/>
      <c r="K1345" s="26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87"/>
      <c r="AV1345" s="87"/>
      <c r="AW1345" s="87"/>
      <c r="AX1345" s="87"/>
      <c r="AY1345" s="87"/>
    </row>
    <row r="1346" spans="1:51" x14ac:dyDescent="0.2">
      <c r="A1346" s="87"/>
      <c r="B1346" s="26"/>
      <c r="D1346" s="26"/>
      <c r="E1346" s="26"/>
      <c r="F1346" s="26"/>
      <c r="G1346" s="26"/>
      <c r="H1346" s="87"/>
      <c r="I1346" s="26"/>
      <c r="J1346" s="51"/>
      <c r="K1346" s="26"/>
      <c r="L1346" s="87"/>
      <c r="M1346" s="87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87"/>
      <c r="AV1346" s="87"/>
      <c r="AW1346" s="87"/>
      <c r="AX1346" s="87"/>
      <c r="AY1346" s="87"/>
    </row>
    <row r="1347" spans="1:51" x14ac:dyDescent="0.2">
      <c r="A1347" s="87"/>
      <c r="B1347" s="26"/>
      <c r="D1347" s="26"/>
      <c r="E1347" s="26"/>
      <c r="F1347" s="26"/>
      <c r="G1347" s="26"/>
      <c r="H1347" s="87"/>
      <c r="I1347" s="26"/>
      <c r="J1347" s="51"/>
      <c r="K1347" s="26"/>
      <c r="L1347" s="87"/>
      <c r="M1347" s="87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87"/>
      <c r="AV1347" s="87"/>
      <c r="AW1347" s="87"/>
      <c r="AX1347" s="87"/>
      <c r="AY1347" s="87"/>
    </row>
    <row r="1348" spans="1:51" x14ac:dyDescent="0.2">
      <c r="A1348" s="87"/>
      <c r="B1348" s="26"/>
      <c r="D1348" s="26"/>
      <c r="E1348" s="26"/>
      <c r="F1348" s="26"/>
      <c r="G1348" s="26"/>
      <c r="H1348" s="87"/>
      <c r="I1348" s="26"/>
      <c r="J1348" s="51"/>
      <c r="K1348" s="26"/>
      <c r="L1348" s="87"/>
      <c r="M1348" s="87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  <c r="AW1348" s="87"/>
      <c r="AX1348" s="87"/>
      <c r="AY1348" s="87"/>
    </row>
    <row r="1349" spans="1:51" x14ac:dyDescent="0.2">
      <c r="A1349" s="87"/>
      <c r="B1349" s="26"/>
      <c r="D1349" s="26"/>
      <c r="E1349" s="26"/>
      <c r="F1349" s="26"/>
      <c r="G1349" s="26"/>
      <c r="H1349" s="87"/>
      <c r="I1349" s="26"/>
      <c r="J1349" s="51"/>
      <c r="K1349" s="26"/>
      <c r="L1349" s="87"/>
      <c r="M1349" s="87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  <c r="AW1349" s="87"/>
      <c r="AX1349" s="87"/>
      <c r="AY1349" s="87"/>
    </row>
    <row r="1350" spans="1:51" x14ac:dyDescent="0.2">
      <c r="A1350" s="87"/>
      <c r="B1350" s="26"/>
      <c r="D1350" s="26"/>
      <c r="E1350" s="26"/>
      <c r="F1350" s="26"/>
      <c r="G1350" s="26"/>
      <c r="H1350" s="87"/>
      <c r="I1350" s="26"/>
      <c r="J1350" s="51"/>
      <c r="K1350" s="26"/>
      <c r="L1350" s="87"/>
      <c r="M1350" s="87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87"/>
      <c r="AV1350" s="87"/>
      <c r="AW1350" s="87"/>
      <c r="AX1350" s="87"/>
      <c r="AY1350" s="87"/>
    </row>
    <row r="1351" spans="1:51" x14ac:dyDescent="0.2">
      <c r="A1351" s="87"/>
      <c r="B1351" s="26"/>
      <c r="D1351" s="26"/>
      <c r="E1351" s="26"/>
      <c r="F1351" s="26"/>
      <c r="G1351" s="26"/>
      <c r="H1351" s="87"/>
      <c r="I1351" s="26"/>
      <c r="J1351" s="51"/>
      <c r="K1351" s="26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87"/>
      <c r="AV1351" s="87"/>
      <c r="AW1351" s="87"/>
      <c r="AX1351" s="87"/>
      <c r="AY1351" s="87"/>
    </row>
    <row r="1352" spans="1:51" x14ac:dyDescent="0.2">
      <c r="A1352" s="87"/>
      <c r="B1352" s="26"/>
      <c r="D1352" s="26"/>
      <c r="E1352" s="26"/>
      <c r="F1352" s="26"/>
      <c r="G1352" s="26"/>
      <c r="H1352" s="87"/>
      <c r="I1352" s="26"/>
      <c r="J1352" s="51"/>
      <c r="K1352" s="26"/>
      <c r="L1352" s="87"/>
      <c r="M1352" s="87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  <c r="AW1352" s="87"/>
      <c r="AX1352" s="87"/>
      <c r="AY1352" s="87"/>
    </row>
    <row r="1353" spans="1:51" x14ac:dyDescent="0.2">
      <c r="A1353" s="87"/>
      <c r="B1353" s="26"/>
      <c r="D1353" s="26"/>
      <c r="E1353" s="26"/>
      <c r="F1353" s="26"/>
      <c r="G1353" s="26"/>
      <c r="H1353" s="87"/>
      <c r="I1353" s="26"/>
      <c r="J1353" s="51"/>
      <c r="K1353" s="26"/>
      <c r="L1353" s="87"/>
      <c r="M1353" s="87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  <c r="AW1353" s="87"/>
      <c r="AX1353" s="87"/>
      <c r="AY1353" s="87"/>
    </row>
    <row r="1354" spans="1:51" x14ac:dyDescent="0.2">
      <c r="A1354" s="87"/>
      <c r="B1354" s="26"/>
      <c r="D1354" s="26"/>
      <c r="E1354" s="26"/>
      <c r="F1354" s="26"/>
      <c r="G1354" s="26"/>
      <c r="H1354" s="87"/>
      <c r="I1354" s="26"/>
      <c r="J1354" s="51"/>
      <c r="K1354" s="26"/>
      <c r="L1354" s="87"/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  <c r="AW1354" s="87"/>
      <c r="AX1354" s="87"/>
      <c r="AY1354" s="87"/>
    </row>
    <row r="1355" spans="1:51" x14ac:dyDescent="0.2">
      <c r="A1355" s="87"/>
      <c r="B1355" s="26"/>
      <c r="D1355" s="26"/>
      <c r="E1355" s="26"/>
      <c r="F1355" s="26"/>
      <c r="G1355" s="26"/>
      <c r="H1355" s="87"/>
      <c r="I1355" s="26"/>
      <c r="J1355" s="51"/>
      <c r="K1355" s="26"/>
      <c r="L1355" s="87"/>
      <c r="M1355" s="87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  <c r="AW1355" s="87"/>
      <c r="AX1355" s="87"/>
      <c r="AY1355" s="87"/>
    </row>
    <row r="1356" spans="1:51" x14ac:dyDescent="0.2">
      <c r="A1356" s="87"/>
      <c r="B1356" s="26"/>
      <c r="D1356" s="26"/>
      <c r="E1356" s="26"/>
      <c r="F1356" s="26"/>
      <c r="G1356" s="26"/>
      <c r="H1356" s="87"/>
      <c r="I1356" s="26"/>
      <c r="J1356" s="51"/>
      <c r="K1356" s="26"/>
      <c r="L1356" s="87"/>
      <c r="M1356" s="87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/>
      <c r="AV1356" s="87"/>
      <c r="AW1356" s="87"/>
      <c r="AX1356" s="87"/>
      <c r="AY1356" s="87"/>
    </row>
    <row r="1357" spans="1:51" x14ac:dyDescent="0.2">
      <c r="A1357" s="87"/>
      <c r="B1357" s="26"/>
      <c r="D1357" s="26"/>
      <c r="E1357" s="26"/>
      <c r="F1357" s="26"/>
      <c r="G1357" s="26"/>
      <c r="H1357" s="87"/>
      <c r="I1357" s="26"/>
      <c r="J1357" s="51"/>
      <c r="K1357" s="26"/>
      <c r="L1357" s="87"/>
      <c r="M1357" s="87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  <c r="AW1357" s="87"/>
      <c r="AX1357" s="87"/>
      <c r="AY1357" s="87"/>
    </row>
    <row r="1358" spans="1:51" x14ac:dyDescent="0.2">
      <c r="A1358" s="87"/>
      <c r="B1358" s="26"/>
      <c r="D1358" s="26"/>
      <c r="E1358" s="26"/>
      <c r="F1358" s="26"/>
      <c r="G1358" s="26"/>
      <c r="H1358" s="87"/>
      <c r="I1358" s="26"/>
      <c r="J1358" s="51"/>
      <c r="K1358" s="26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87"/>
      <c r="AV1358" s="87"/>
      <c r="AW1358" s="87"/>
      <c r="AX1358" s="87"/>
      <c r="AY1358" s="87"/>
    </row>
    <row r="1359" spans="1:51" x14ac:dyDescent="0.2">
      <c r="A1359" s="87"/>
      <c r="B1359" s="26"/>
      <c r="D1359" s="26"/>
      <c r="E1359" s="26"/>
      <c r="F1359" s="26"/>
      <c r="G1359" s="26"/>
      <c r="H1359" s="87"/>
      <c r="I1359" s="26"/>
      <c r="J1359" s="51"/>
      <c r="K1359" s="26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87"/>
      <c r="AV1359" s="87"/>
      <c r="AW1359" s="87"/>
      <c r="AX1359" s="87"/>
      <c r="AY1359" s="87"/>
    </row>
    <row r="1360" spans="1:51" x14ac:dyDescent="0.2">
      <c r="A1360" s="87"/>
      <c r="B1360" s="26"/>
      <c r="D1360" s="26"/>
      <c r="E1360" s="26"/>
      <c r="F1360" s="26"/>
      <c r="G1360" s="26"/>
      <c r="H1360" s="87"/>
      <c r="I1360" s="26"/>
      <c r="J1360" s="51"/>
      <c r="K1360" s="26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87"/>
      <c r="AV1360" s="87"/>
      <c r="AW1360" s="87"/>
      <c r="AX1360" s="87"/>
      <c r="AY1360" s="87"/>
    </row>
    <row r="1361" spans="1:51" x14ac:dyDescent="0.2">
      <c r="A1361" s="87"/>
      <c r="B1361" s="26"/>
      <c r="D1361" s="26"/>
      <c r="E1361" s="26"/>
      <c r="F1361" s="26"/>
      <c r="G1361" s="26"/>
      <c r="H1361" s="87"/>
      <c r="I1361" s="26"/>
      <c r="J1361" s="51"/>
      <c r="K1361" s="26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87"/>
      <c r="AV1361" s="87"/>
      <c r="AW1361" s="87"/>
      <c r="AX1361" s="87"/>
      <c r="AY1361" s="87"/>
    </row>
    <row r="1362" spans="1:51" x14ac:dyDescent="0.2">
      <c r="A1362" s="87"/>
      <c r="B1362" s="26"/>
      <c r="D1362" s="26"/>
      <c r="E1362" s="26"/>
      <c r="F1362" s="26"/>
      <c r="G1362" s="26"/>
      <c r="H1362" s="87"/>
      <c r="I1362" s="26"/>
      <c r="J1362" s="51"/>
      <c r="K1362" s="26"/>
      <c r="L1362" s="87"/>
      <c r="M1362" s="87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87"/>
      <c r="AV1362" s="87"/>
      <c r="AW1362" s="87"/>
      <c r="AX1362" s="87"/>
      <c r="AY1362" s="87"/>
    </row>
    <row r="1363" spans="1:51" x14ac:dyDescent="0.2">
      <c r="A1363" s="87"/>
      <c r="B1363" s="26"/>
      <c r="D1363" s="26"/>
      <c r="E1363" s="26"/>
      <c r="F1363" s="26"/>
      <c r="G1363" s="26"/>
      <c r="H1363" s="87"/>
      <c r="I1363" s="26"/>
      <c r="J1363" s="51"/>
      <c r="K1363" s="26"/>
      <c r="L1363" s="87"/>
      <c r="M1363" s="87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  <c r="AW1363" s="87"/>
      <c r="AX1363" s="87"/>
      <c r="AY1363" s="87"/>
    </row>
    <row r="1364" spans="1:51" x14ac:dyDescent="0.2">
      <c r="A1364" s="87"/>
      <c r="B1364" s="26"/>
      <c r="D1364" s="26"/>
      <c r="E1364" s="26"/>
      <c r="F1364" s="26"/>
      <c r="G1364" s="26"/>
      <c r="H1364" s="87"/>
      <c r="I1364" s="26"/>
      <c r="J1364" s="51"/>
      <c r="K1364" s="26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87"/>
      <c r="AV1364" s="87"/>
      <c r="AW1364" s="87"/>
      <c r="AX1364" s="87"/>
      <c r="AY1364" s="87"/>
    </row>
    <row r="1365" spans="1:51" x14ac:dyDescent="0.2">
      <c r="A1365" s="87"/>
      <c r="B1365" s="26"/>
      <c r="D1365" s="26"/>
      <c r="E1365" s="26"/>
      <c r="F1365" s="26"/>
      <c r="G1365" s="26"/>
      <c r="H1365" s="87"/>
      <c r="I1365" s="26"/>
      <c r="J1365" s="51"/>
      <c r="K1365" s="26"/>
      <c r="L1365" s="87"/>
      <c r="M1365" s="87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87"/>
      <c r="AV1365" s="87"/>
      <c r="AW1365" s="87"/>
      <c r="AX1365" s="87"/>
      <c r="AY1365" s="87"/>
    </row>
    <row r="1366" spans="1:51" x14ac:dyDescent="0.2">
      <c r="A1366" s="87"/>
      <c r="B1366" s="26"/>
      <c r="D1366" s="26"/>
      <c r="E1366" s="26"/>
      <c r="F1366" s="26"/>
      <c r="G1366" s="26"/>
      <c r="H1366" s="87"/>
      <c r="I1366" s="26"/>
      <c r="J1366" s="51"/>
      <c r="K1366" s="26"/>
      <c r="L1366" s="87"/>
      <c r="M1366" s="87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87"/>
      <c r="AV1366" s="87"/>
      <c r="AW1366" s="87"/>
      <c r="AX1366" s="87"/>
      <c r="AY1366" s="87"/>
    </row>
    <row r="1367" spans="1:51" x14ac:dyDescent="0.2">
      <c r="A1367" s="87"/>
      <c r="B1367" s="26"/>
      <c r="D1367" s="26"/>
      <c r="E1367" s="26"/>
      <c r="F1367" s="26"/>
      <c r="G1367" s="26"/>
      <c r="H1367" s="87"/>
      <c r="I1367" s="26"/>
      <c r="J1367" s="51"/>
      <c r="K1367" s="26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87"/>
      <c r="AV1367" s="87"/>
      <c r="AW1367" s="87"/>
      <c r="AX1367" s="87"/>
      <c r="AY1367" s="87"/>
    </row>
    <row r="1368" spans="1:51" x14ac:dyDescent="0.2">
      <c r="A1368" s="87"/>
      <c r="B1368" s="26"/>
      <c r="D1368" s="26"/>
      <c r="E1368" s="26"/>
      <c r="F1368" s="26"/>
      <c r="G1368" s="26"/>
      <c r="H1368" s="87"/>
      <c r="I1368" s="26"/>
      <c r="J1368" s="51"/>
      <c r="K1368" s="26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87"/>
      <c r="AV1368" s="87"/>
      <c r="AW1368" s="87"/>
      <c r="AX1368" s="87"/>
      <c r="AY1368" s="87"/>
    </row>
    <row r="1369" spans="1:51" x14ac:dyDescent="0.2">
      <c r="A1369" s="87"/>
      <c r="B1369" s="26"/>
      <c r="D1369" s="26"/>
      <c r="E1369" s="26"/>
      <c r="F1369" s="26"/>
      <c r="G1369" s="26"/>
      <c r="H1369" s="87"/>
      <c r="I1369" s="26"/>
      <c r="J1369" s="51"/>
      <c r="K1369" s="26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  <c r="AW1369" s="87"/>
      <c r="AX1369" s="87"/>
      <c r="AY1369" s="87"/>
    </row>
    <row r="1370" spans="1:51" x14ac:dyDescent="0.2">
      <c r="A1370" s="87"/>
      <c r="B1370" s="26"/>
      <c r="D1370" s="26"/>
      <c r="E1370" s="26"/>
      <c r="F1370" s="26"/>
      <c r="G1370" s="26"/>
      <c r="H1370" s="87"/>
      <c r="I1370" s="26"/>
      <c r="J1370" s="51"/>
      <c r="K1370" s="26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87"/>
      <c r="AV1370" s="87"/>
      <c r="AW1370" s="87"/>
      <c r="AX1370" s="87"/>
      <c r="AY1370" s="87"/>
    </row>
    <row r="1371" spans="1:51" x14ac:dyDescent="0.2">
      <c r="A1371" s="87"/>
      <c r="B1371" s="26"/>
      <c r="D1371" s="26"/>
      <c r="E1371" s="26"/>
      <c r="F1371" s="26"/>
      <c r="G1371" s="26"/>
      <c r="H1371" s="87"/>
      <c r="I1371" s="26"/>
      <c r="J1371" s="51"/>
      <c r="K1371" s="26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87"/>
      <c r="AV1371" s="87"/>
      <c r="AW1371" s="87"/>
      <c r="AX1371" s="87"/>
      <c r="AY1371" s="87"/>
    </row>
    <row r="1372" spans="1:51" x14ac:dyDescent="0.2">
      <c r="A1372" s="87"/>
      <c r="B1372" s="26"/>
      <c r="D1372" s="26"/>
      <c r="E1372" s="26"/>
      <c r="F1372" s="26"/>
      <c r="G1372" s="26"/>
      <c r="H1372" s="87"/>
      <c r="I1372" s="26"/>
      <c r="J1372" s="51"/>
      <c r="K1372" s="26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87"/>
      <c r="AV1372" s="87"/>
      <c r="AW1372" s="87"/>
      <c r="AX1372" s="87"/>
      <c r="AY1372" s="87"/>
    </row>
    <row r="1373" spans="1:51" x14ac:dyDescent="0.2">
      <c r="A1373" s="87"/>
      <c r="B1373" s="26"/>
      <c r="D1373" s="26"/>
      <c r="E1373" s="26"/>
      <c r="F1373" s="26"/>
      <c r="G1373" s="26"/>
      <c r="H1373" s="87"/>
      <c r="I1373" s="26"/>
      <c r="J1373" s="51"/>
      <c r="K1373" s="26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87"/>
      <c r="AV1373" s="87"/>
      <c r="AW1373" s="87"/>
      <c r="AX1373" s="87"/>
      <c r="AY1373" s="87"/>
    </row>
    <row r="1374" spans="1:51" x14ac:dyDescent="0.2">
      <c r="A1374" s="87"/>
      <c r="B1374" s="26"/>
      <c r="D1374" s="26"/>
      <c r="E1374" s="26"/>
      <c r="F1374" s="26"/>
      <c r="G1374" s="26"/>
      <c r="H1374" s="87"/>
      <c r="I1374" s="26"/>
      <c r="J1374" s="51"/>
      <c r="K1374" s="26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  <c r="AW1374" s="87"/>
      <c r="AX1374" s="87"/>
      <c r="AY1374" s="87"/>
    </row>
    <row r="1375" spans="1:51" x14ac:dyDescent="0.2">
      <c r="A1375" s="87"/>
      <c r="B1375" s="26"/>
      <c r="D1375" s="26"/>
      <c r="E1375" s="26"/>
      <c r="F1375" s="26"/>
      <c r="G1375" s="26"/>
      <c r="H1375" s="87"/>
      <c r="I1375" s="26"/>
      <c r="J1375" s="51"/>
      <c r="K1375" s="26"/>
      <c r="L1375" s="87"/>
      <c r="M1375" s="87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  <c r="AW1375" s="87"/>
      <c r="AX1375" s="87"/>
      <c r="AY1375" s="87"/>
    </row>
    <row r="1376" spans="1:51" x14ac:dyDescent="0.2">
      <c r="A1376" s="87"/>
      <c r="B1376" s="26"/>
      <c r="D1376" s="26"/>
      <c r="E1376" s="26"/>
      <c r="F1376" s="26"/>
      <c r="G1376" s="26"/>
      <c r="H1376" s="87"/>
      <c r="I1376" s="26"/>
      <c r="J1376" s="51"/>
      <c r="K1376" s="26"/>
      <c r="L1376" s="87"/>
      <c r="M1376" s="87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87"/>
      <c r="AV1376" s="87"/>
      <c r="AW1376" s="87"/>
      <c r="AX1376" s="87"/>
      <c r="AY1376" s="87"/>
    </row>
    <row r="1377" spans="1:51" x14ac:dyDescent="0.2">
      <c r="A1377" s="87"/>
      <c r="B1377" s="26"/>
      <c r="D1377" s="26"/>
      <c r="E1377" s="26"/>
      <c r="F1377" s="26"/>
      <c r="G1377" s="26"/>
      <c r="H1377" s="87"/>
      <c r="I1377" s="26"/>
      <c r="J1377" s="51"/>
      <c r="K1377" s="26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  <c r="AW1377" s="87"/>
      <c r="AX1377" s="87"/>
      <c r="AY1377" s="87"/>
    </row>
    <row r="1378" spans="1:51" x14ac:dyDescent="0.2">
      <c r="A1378" s="87"/>
      <c r="B1378" s="26"/>
      <c r="D1378" s="26"/>
      <c r="E1378" s="26"/>
      <c r="F1378" s="26"/>
      <c r="G1378" s="26"/>
      <c r="H1378" s="87"/>
      <c r="I1378" s="26"/>
      <c r="J1378" s="51"/>
      <c r="K1378" s="26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  <c r="AW1378" s="87"/>
      <c r="AX1378" s="87"/>
      <c r="AY1378" s="87"/>
    </row>
    <row r="1379" spans="1:51" x14ac:dyDescent="0.2">
      <c r="A1379" s="87"/>
      <c r="B1379" s="26"/>
      <c r="D1379" s="26"/>
      <c r="E1379" s="26"/>
      <c r="F1379" s="26"/>
      <c r="G1379" s="26"/>
      <c r="H1379" s="87"/>
      <c r="I1379" s="26"/>
      <c r="J1379" s="51"/>
      <c r="K1379" s="26"/>
      <c r="L1379" s="87"/>
      <c r="M1379" s="87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</row>
    <row r="1380" spans="1:51" x14ac:dyDescent="0.2">
      <c r="A1380" s="87"/>
      <c r="B1380" s="26"/>
      <c r="D1380" s="26"/>
      <c r="E1380" s="26"/>
      <c r="F1380" s="26"/>
      <c r="G1380" s="26"/>
      <c r="H1380" s="87"/>
      <c r="I1380" s="26"/>
      <c r="J1380" s="51"/>
      <c r="K1380" s="26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87"/>
      <c r="AV1380" s="87"/>
      <c r="AW1380" s="87"/>
      <c r="AX1380" s="87"/>
      <c r="AY1380" s="87"/>
    </row>
    <row r="1381" spans="1:51" x14ac:dyDescent="0.2">
      <c r="A1381" s="87"/>
      <c r="B1381" s="26"/>
      <c r="D1381" s="26"/>
      <c r="E1381" s="26"/>
      <c r="F1381" s="26"/>
      <c r="G1381" s="26"/>
      <c r="H1381" s="87"/>
      <c r="I1381" s="26"/>
      <c r="J1381" s="51"/>
      <c r="K1381" s="26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  <c r="AW1381" s="87"/>
      <c r="AX1381" s="87"/>
      <c r="AY1381" s="87"/>
    </row>
    <row r="1382" spans="1:51" x14ac:dyDescent="0.2">
      <c r="A1382" s="87"/>
      <c r="B1382" s="26"/>
      <c r="D1382" s="26"/>
      <c r="E1382" s="26"/>
      <c r="F1382" s="26"/>
      <c r="G1382" s="26"/>
      <c r="H1382" s="87"/>
      <c r="I1382" s="26"/>
      <c r="J1382" s="51"/>
      <c r="K1382" s="26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87"/>
      <c r="AV1382" s="87"/>
      <c r="AW1382" s="87"/>
      <c r="AX1382" s="87"/>
      <c r="AY1382" s="87"/>
    </row>
    <row r="1383" spans="1:51" x14ac:dyDescent="0.2">
      <c r="A1383" s="87"/>
      <c r="B1383" s="26"/>
      <c r="D1383" s="26"/>
      <c r="E1383" s="26"/>
      <c r="F1383" s="26"/>
      <c r="G1383" s="26"/>
      <c r="H1383" s="87"/>
      <c r="I1383" s="26"/>
      <c r="J1383" s="51"/>
      <c r="K1383" s="26"/>
      <c r="L1383" s="87"/>
      <c r="M1383" s="87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87"/>
      <c r="AV1383" s="87"/>
      <c r="AW1383" s="87"/>
      <c r="AX1383" s="87"/>
      <c r="AY1383" s="87"/>
    </row>
    <row r="1384" spans="1:51" x14ac:dyDescent="0.2">
      <c r="A1384" s="87"/>
      <c r="B1384" s="26"/>
      <c r="D1384" s="26"/>
      <c r="E1384" s="26"/>
      <c r="F1384" s="26"/>
      <c r="G1384" s="26"/>
      <c r="H1384" s="87"/>
      <c r="I1384" s="26"/>
      <c r="J1384" s="51"/>
      <c r="K1384" s="26"/>
      <c r="L1384" s="87"/>
      <c r="M1384" s="87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87"/>
      <c r="AV1384" s="87"/>
      <c r="AW1384" s="87"/>
      <c r="AX1384" s="87"/>
      <c r="AY1384" s="87"/>
    </row>
    <row r="1385" spans="1:51" x14ac:dyDescent="0.2">
      <c r="A1385" s="87"/>
      <c r="B1385" s="26"/>
      <c r="D1385" s="26"/>
      <c r="E1385" s="26"/>
      <c r="F1385" s="26"/>
      <c r="G1385" s="26"/>
      <c r="H1385" s="87"/>
      <c r="I1385" s="26"/>
      <c r="J1385" s="51"/>
      <c r="K1385" s="26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87"/>
      <c r="AV1385" s="87"/>
      <c r="AW1385" s="87"/>
      <c r="AX1385" s="87"/>
      <c r="AY1385" s="87"/>
    </row>
    <row r="1386" spans="1:51" x14ac:dyDescent="0.2">
      <c r="A1386" s="87"/>
      <c r="B1386" s="26"/>
      <c r="D1386" s="26"/>
      <c r="E1386" s="26"/>
      <c r="F1386" s="26"/>
      <c r="G1386" s="26"/>
      <c r="H1386" s="87"/>
      <c r="I1386" s="26"/>
      <c r="J1386" s="51"/>
      <c r="K1386" s="26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  <c r="AW1386" s="87"/>
      <c r="AX1386" s="87"/>
      <c r="AY1386" s="87"/>
    </row>
    <row r="1387" spans="1:51" x14ac:dyDescent="0.2">
      <c r="A1387" s="87"/>
      <c r="B1387" s="26"/>
      <c r="D1387" s="26"/>
      <c r="E1387" s="26"/>
      <c r="F1387" s="26"/>
      <c r="G1387" s="26"/>
      <c r="H1387" s="87"/>
      <c r="I1387" s="26"/>
      <c r="J1387" s="51"/>
      <c r="K1387" s="26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  <c r="AW1387" s="87"/>
      <c r="AX1387" s="87"/>
      <c r="AY1387" s="87"/>
    </row>
    <row r="1388" spans="1:51" x14ac:dyDescent="0.2">
      <c r="A1388" s="87"/>
      <c r="B1388" s="26"/>
      <c r="D1388" s="26"/>
      <c r="E1388" s="26"/>
      <c r="F1388" s="26"/>
      <c r="G1388" s="26"/>
      <c r="H1388" s="87"/>
      <c r="I1388" s="26"/>
      <c r="J1388" s="51"/>
      <c r="K1388" s="26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  <c r="AW1388" s="87"/>
      <c r="AX1388" s="87"/>
      <c r="AY1388" s="87"/>
    </row>
    <row r="1389" spans="1:51" x14ac:dyDescent="0.2">
      <c r="A1389" s="87"/>
      <c r="B1389" s="26"/>
      <c r="D1389" s="26"/>
      <c r="E1389" s="26"/>
      <c r="F1389" s="26"/>
      <c r="G1389" s="26"/>
      <c r="H1389" s="87"/>
      <c r="I1389" s="26"/>
      <c r="J1389" s="51"/>
      <c r="K1389" s="26"/>
      <c r="L1389" s="87"/>
      <c r="M1389" s="87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  <c r="AW1389" s="87"/>
      <c r="AX1389" s="87"/>
      <c r="AY1389" s="87"/>
    </row>
    <row r="1390" spans="1:51" x14ac:dyDescent="0.2">
      <c r="A1390" s="87"/>
      <c r="B1390" s="26"/>
      <c r="D1390" s="26"/>
      <c r="E1390" s="26"/>
      <c r="F1390" s="26"/>
      <c r="G1390" s="26"/>
      <c r="H1390" s="87"/>
      <c r="I1390" s="26"/>
      <c r="J1390" s="51"/>
      <c r="K1390" s="26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87"/>
      <c r="AV1390" s="87"/>
      <c r="AW1390" s="87"/>
      <c r="AX1390" s="87"/>
      <c r="AY1390" s="87"/>
    </row>
    <row r="1391" spans="1:51" x14ac:dyDescent="0.2">
      <c r="A1391" s="87"/>
      <c r="B1391" s="26"/>
      <c r="D1391" s="26"/>
      <c r="E1391" s="26"/>
      <c r="F1391" s="26"/>
      <c r="G1391" s="26"/>
      <c r="H1391" s="87"/>
      <c r="I1391" s="26"/>
      <c r="J1391" s="51"/>
      <c r="K1391" s="26"/>
      <c r="L1391" s="87"/>
      <c r="M1391" s="87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87"/>
      <c r="AV1391" s="87"/>
      <c r="AW1391" s="87"/>
      <c r="AX1391" s="87"/>
      <c r="AY1391" s="87"/>
    </row>
    <row r="1392" spans="1:51" x14ac:dyDescent="0.2">
      <c r="A1392" s="87"/>
      <c r="B1392" s="26"/>
      <c r="D1392" s="26"/>
      <c r="E1392" s="26"/>
      <c r="F1392" s="26"/>
      <c r="G1392" s="26"/>
      <c r="H1392" s="87"/>
      <c r="I1392" s="26"/>
      <c r="J1392" s="51"/>
      <c r="K1392" s="26"/>
      <c r="L1392" s="87"/>
      <c r="M1392" s="87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87"/>
      <c r="AV1392" s="87"/>
      <c r="AW1392" s="87"/>
      <c r="AX1392" s="87"/>
      <c r="AY1392" s="87"/>
    </row>
    <row r="1393" spans="1:51" x14ac:dyDescent="0.2">
      <c r="A1393" s="87"/>
      <c r="B1393" s="26"/>
      <c r="D1393" s="26"/>
      <c r="E1393" s="26"/>
      <c r="F1393" s="26"/>
      <c r="G1393" s="26"/>
      <c r="H1393" s="87"/>
      <c r="I1393" s="26"/>
      <c r="J1393" s="51"/>
      <c r="K1393" s="26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  <c r="AW1393" s="87"/>
      <c r="AX1393" s="87"/>
      <c r="AY1393" s="87"/>
    </row>
    <row r="1394" spans="1:51" x14ac:dyDescent="0.2">
      <c r="A1394" s="87"/>
      <c r="B1394" s="26"/>
      <c r="D1394" s="26"/>
      <c r="E1394" s="26"/>
      <c r="F1394" s="26"/>
      <c r="G1394" s="26"/>
      <c r="H1394" s="87"/>
      <c r="I1394" s="26"/>
      <c r="J1394" s="51"/>
      <c r="K1394" s="26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  <c r="AW1394" s="87"/>
      <c r="AX1394" s="87"/>
      <c r="AY1394" s="87"/>
    </row>
    <row r="1395" spans="1:51" x14ac:dyDescent="0.2">
      <c r="A1395" s="87"/>
      <c r="B1395" s="26"/>
      <c r="D1395" s="26"/>
      <c r="E1395" s="26"/>
      <c r="F1395" s="26"/>
      <c r="G1395" s="26"/>
      <c r="H1395" s="87"/>
      <c r="I1395" s="26"/>
      <c r="J1395" s="51"/>
      <c r="K1395" s="26"/>
      <c r="L1395" s="87"/>
      <c r="M1395" s="87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  <c r="AW1395" s="87"/>
      <c r="AX1395" s="87"/>
      <c r="AY1395" s="87"/>
    </row>
    <row r="1396" spans="1:51" x14ac:dyDescent="0.2">
      <c r="A1396" s="87"/>
      <c r="B1396" s="26"/>
      <c r="D1396" s="26"/>
      <c r="E1396" s="26"/>
      <c r="F1396" s="26"/>
      <c r="G1396" s="26"/>
      <c r="H1396" s="87"/>
      <c r="I1396" s="26"/>
      <c r="J1396" s="51"/>
      <c r="K1396" s="26"/>
      <c r="L1396" s="87"/>
      <c r="M1396" s="87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  <c r="AW1396" s="87"/>
      <c r="AX1396" s="87"/>
      <c r="AY1396" s="87"/>
    </row>
    <row r="1397" spans="1:51" x14ac:dyDescent="0.2">
      <c r="A1397" s="87"/>
      <c r="B1397" s="26"/>
      <c r="D1397" s="26"/>
      <c r="E1397" s="26"/>
      <c r="F1397" s="26"/>
      <c r="G1397" s="26"/>
      <c r="H1397" s="87"/>
      <c r="I1397" s="26"/>
      <c r="J1397" s="51"/>
      <c r="K1397" s="26"/>
      <c r="L1397" s="87"/>
      <c r="M1397" s="87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87"/>
      <c r="AV1397" s="87"/>
      <c r="AW1397" s="87"/>
      <c r="AX1397" s="87"/>
      <c r="AY1397" s="87"/>
    </row>
    <row r="1398" spans="1:51" x14ac:dyDescent="0.2">
      <c r="A1398" s="87"/>
      <c r="B1398" s="26"/>
      <c r="D1398" s="26"/>
      <c r="E1398" s="26"/>
      <c r="F1398" s="26"/>
      <c r="G1398" s="26"/>
      <c r="H1398" s="87"/>
      <c r="I1398" s="26"/>
      <c r="J1398" s="51"/>
      <c r="K1398" s="26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  <c r="AW1398" s="87"/>
      <c r="AX1398" s="87"/>
      <c r="AY1398" s="87"/>
    </row>
    <row r="1399" spans="1:51" x14ac:dyDescent="0.2">
      <c r="A1399" s="87"/>
      <c r="B1399" s="26"/>
      <c r="D1399" s="26"/>
      <c r="E1399" s="26"/>
      <c r="F1399" s="26"/>
      <c r="G1399" s="26"/>
      <c r="H1399" s="87"/>
      <c r="I1399" s="26"/>
      <c r="J1399" s="51"/>
      <c r="K1399" s="26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87"/>
      <c r="AV1399" s="87"/>
      <c r="AW1399" s="87"/>
      <c r="AX1399" s="87"/>
      <c r="AY1399" s="87"/>
    </row>
    <row r="1400" spans="1:51" x14ac:dyDescent="0.2">
      <c r="A1400" s="87"/>
      <c r="B1400" s="26"/>
      <c r="D1400" s="26"/>
      <c r="E1400" s="26"/>
      <c r="F1400" s="26"/>
      <c r="G1400" s="26"/>
      <c r="H1400" s="87"/>
      <c r="I1400" s="26"/>
      <c r="J1400" s="51"/>
      <c r="K1400" s="26"/>
      <c r="L1400" s="87"/>
      <c r="M1400" s="87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  <c r="AW1400" s="87"/>
      <c r="AX1400" s="87"/>
      <c r="AY1400" s="87"/>
    </row>
    <row r="1401" spans="1:51" x14ac:dyDescent="0.2">
      <c r="A1401" s="87"/>
      <c r="B1401" s="26"/>
      <c r="D1401" s="26"/>
      <c r="E1401" s="26"/>
      <c r="F1401" s="26"/>
      <c r="G1401" s="26"/>
      <c r="H1401" s="87"/>
      <c r="I1401" s="26"/>
      <c r="J1401" s="51"/>
      <c r="K1401" s="26"/>
      <c r="L1401" s="87"/>
      <c r="M1401" s="87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  <c r="AW1401" s="87"/>
      <c r="AX1401" s="87"/>
      <c r="AY1401" s="87"/>
    </row>
    <row r="1402" spans="1:51" x14ac:dyDescent="0.2">
      <c r="A1402" s="87"/>
      <c r="B1402" s="26"/>
      <c r="D1402" s="26"/>
      <c r="E1402" s="26"/>
      <c r="F1402" s="26"/>
      <c r="G1402" s="26"/>
      <c r="H1402" s="87"/>
      <c r="I1402" s="26"/>
      <c r="J1402" s="51"/>
      <c r="K1402" s="26"/>
      <c r="L1402" s="87"/>
      <c r="M1402" s="87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  <c r="AW1402" s="87"/>
      <c r="AX1402" s="87"/>
      <c r="AY1402" s="87"/>
    </row>
    <row r="1403" spans="1:51" x14ac:dyDescent="0.2">
      <c r="A1403" s="87"/>
      <c r="B1403" s="26"/>
      <c r="D1403" s="26"/>
      <c r="E1403" s="26"/>
      <c r="F1403" s="26"/>
      <c r="G1403" s="26"/>
      <c r="H1403" s="87"/>
      <c r="I1403" s="26"/>
      <c r="J1403" s="51"/>
      <c r="K1403" s="26"/>
      <c r="L1403" s="87"/>
      <c r="M1403" s="87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</row>
    <row r="1404" spans="1:51" x14ac:dyDescent="0.2">
      <c r="A1404" s="87"/>
      <c r="B1404" s="26"/>
      <c r="D1404" s="26"/>
      <c r="E1404" s="26"/>
      <c r="F1404" s="26"/>
      <c r="G1404" s="26"/>
      <c r="H1404" s="87"/>
      <c r="I1404" s="26"/>
      <c r="J1404" s="51"/>
      <c r="K1404" s="26"/>
      <c r="L1404" s="87"/>
      <c r="M1404" s="87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  <c r="AW1404" s="87"/>
      <c r="AX1404" s="87"/>
      <c r="AY1404" s="87"/>
    </row>
    <row r="1405" spans="1:51" x14ac:dyDescent="0.2">
      <c r="A1405" s="87"/>
      <c r="B1405" s="26"/>
      <c r="D1405" s="26"/>
      <c r="E1405" s="26"/>
      <c r="F1405" s="26"/>
      <c r="G1405" s="26"/>
      <c r="H1405" s="87"/>
      <c r="I1405" s="26"/>
      <c r="J1405" s="51"/>
      <c r="K1405" s="26"/>
      <c r="L1405" s="87"/>
      <c r="M1405" s="87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  <c r="AW1405" s="87"/>
      <c r="AX1405" s="87"/>
      <c r="AY1405" s="87"/>
    </row>
    <row r="1406" spans="1:51" x14ac:dyDescent="0.2">
      <c r="A1406" s="87"/>
      <c r="B1406" s="26"/>
      <c r="D1406" s="26"/>
      <c r="E1406" s="26"/>
      <c r="F1406" s="26"/>
      <c r="G1406" s="26"/>
      <c r="H1406" s="87"/>
      <c r="I1406" s="26"/>
      <c r="J1406" s="51"/>
      <c r="K1406" s="26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  <c r="AW1406" s="87"/>
      <c r="AX1406" s="87"/>
      <c r="AY1406" s="87"/>
    </row>
    <row r="1407" spans="1:51" x14ac:dyDescent="0.2">
      <c r="A1407" s="87"/>
      <c r="B1407" s="26"/>
      <c r="D1407" s="26"/>
      <c r="E1407" s="26"/>
      <c r="F1407" s="26"/>
      <c r="G1407" s="26"/>
      <c r="H1407" s="87"/>
      <c r="I1407" s="26"/>
      <c r="J1407" s="51"/>
      <c r="K1407" s="26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  <c r="AW1407" s="87"/>
      <c r="AX1407" s="87"/>
      <c r="AY1407" s="87"/>
    </row>
    <row r="1408" spans="1:51" x14ac:dyDescent="0.2">
      <c r="A1408" s="87"/>
      <c r="B1408" s="26"/>
      <c r="D1408" s="26"/>
      <c r="E1408" s="26"/>
      <c r="F1408" s="26"/>
      <c r="G1408" s="26"/>
      <c r="H1408" s="87"/>
      <c r="I1408" s="26"/>
      <c r="J1408" s="51"/>
      <c r="K1408" s="26"/>
      <c r="L1408" s="87"/>
      <c r="M1408" s="87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87"/>
      <c r="AV1408" s="87"/>
      <c r="AW1408" s="87"/>
      <c r="AX1408" s="87"/>
      <c r="AY1408" s="87"/>
    </row>
    <row r="1409" spans="1:51" x14ac:dyDescent="0.2">
      <c r="A1409" s="87"/>
      <c r="B1409" s="26"/>
      <c r="D1409" s="26"/>
      <c r="E1409" s="26"/>
      <c r="F1409" s="26"/>
      <c r="G1409" s="26"/>
      <c r="H1409" s="87"/>
      <c r="I1409" s="26"/>
      <c r="J1409" s="51"/>
      <c r="K1409" s="26"/>
      <c r="L1409" s="87"/>
      <c r="M1409" s="87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  <c r="AW1409" s="87"/>
      <c r="AX1409" s="87"/>
      <c r="AY1409" s="87"/>
    </row>
    <row r="1410" spans="1:51" x14ac:dyDescent="0.2">
      <c r="A1410" s="87"/>
      <c r="B1410" s="26"/>
      <c r="D1410" s="26"/>
      <c r="E1410" s="26"/>
      <c r="F1410" s="26"/>
      <c r="G1410" s="26"/>
      <c r="H1410" s="87"/>
      <c r="I1410" s="26"/>
      <c r="J1410" s="51"/>
      <c r="K1410" s="26"/>
      <c r="L1410" s="87"/>
      <c r="M1410" s="87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87"/>
      <c r="AV1410" s="87"/>
      <c r="AW1410" s="87"/>
      <c r="AX1410" s="87"/>
      <c r="AY1410" s="87"/>
    </row>
    <row r="1411" spans="1:51" x14ac:dyDescent="0.2">
      <c r="A1411" s="87"/>
      <c r="B1411" s="26"/>
      <c r="D1411" s="26"/>
      <c r="E1411" s="26"/>
      <c r="F1411" s="26"/>
      <c r="G1411" s="26"/>
      <c r="H1411" s="87"/>
      <c r="I1411" s="26"/>
      <c r="J1411" s="51"/>
      <c r="K1411" s="26"/>
      <c r="L1411" s="87"/>
      <c r="M1411" s="87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  <c r="AW1411" s="87"/>
      <c r="AX1411" s="87"/>
      <c r="AY1411" s="87"/>
    </row>
    <row r="1412" spans="1:51" x14ac:dyDescent="0.2">
      <c r="A1412" s="87"/>
      <c r="B1412" s="26"/>
      <c r="D1412" s="26"/>
      <c r="E1412" s="26"/>
      <c r="F1412" s="26"/>
      <c r="G1412" s="26"/>
      <c r="H1412" s="87"/>
      <c r="I1412" s="26"/>
      <c r="J1412" s="51"/>
      <c r="K1412" s="26"/>
      <c r="L1412" s="87"/>
      <c r="M1412" s="87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87"/>
      <c r="AV1412" s="87"/>
      <c r="AW1412" s="87"/>
      <c r="AX1412" s="87"/>
      <c r="AY1412" s="87"/>
    </row>
    <row r="1413" spans="1:51" x14ac:dyDescent="0.2">
      <c r="A1413" s="87"/>
      <c r="B1413" s="26"/>
      <c r="D1413" s="26"/>
      <c r="E1413" s="26"/>
      <c r="F1413" s="26"/>
      <c r="G1413" s="26"/>
      <c r="H1413" s="87"/>
      <c r="I1413" s="26"/>
      <c r="J1413" s="51"/>
      <c r="K1413" s="26"/>
      <c r="L1413" s="87"/>
      <c r="M1413" s="87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  <c r="AW1413" s="87"/>
      <c r="AX1413" s="87"/>
      <c r="AY1413" s="87"/>
    </row>
    <row r="1414" spans="1:51" x14ac:dyDescent="0.2">
      <c r="A1414" s="87"/>
      <c r="B1414" s="26"/>
      <c r="D1414" s="26"/>
      <c r="E1414" s="26"/>
      <c r="F1414" s="26"/>
      <c r="G1414" s="26"/>
      <c r="H1414" s="87"/>
      <c r="I1414" s="26"/>
      <c r="J1414" s="51"/>
      <c r="K1414" s="26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87"/>
      <c r="AV1414" s="87"/>
      <c r="AW1414" s="87"/>
      <c r="AX1414" s="87"/>
      <c r="AY1414" s="87"/>
    </row>
    <row r="1415" spans="1:51" x14ac:dyDescent="0.2">
      <c r="A1415" s="87"/>
      <c r="B1415" s="26"/>
      <c r="D1415" s="26"/>
      <c r="E1415" s="26"/>
      <c r="F1415" s="26"/>
      <c r="G1415" s="26"/>
      <c r="H1415" s="87"/>
      <c r="I1415" s="26"/>
      <c r="J1415" s="51"/>
      <c r="K1415" s="26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87"/>
      <c r="AV1415" s="87"/>
      <c r="AW1415" s="87"/>
      <c r="AX1415" s="87"/>
      <c r="AY1415" s="87"/>
    </row>
    <row r="1416" spans="1:51" x14ac:dyDescent="0.2">
      <c r="A1416" s="87"/>
      <c r="B1416" s="26"/>
      <c r="D1416" s="26"/>
      <c r="E1416" s="26"/>
      <c r="F1416" s="26"/>
      <c r="G1416" s="26"/>
      <c r="H1416" s="87"/>
      <c r="I1416" s="26"/>
      <c r="J1416" s="51"/>
      <c r="K1416" s="26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  <c r="AW1416" s="87"/>
      <c r="AX1416" s="87"/>
      <c r="AY1416" s="87"/>
    </row>
    <row r="1417" spans="1:51" x14ac:dyDescent="0.2">
      <c r="A1417" s="87"/>
      <c r="B1417" s="26"/>
      <c r="D1417" s="26"/>
      <c r="E1417" s="26"/>
      <c r="F1417" s="26"/>
      <c r="G1417" s="26"/>
      <c r="H1417" s="87"/>
      <c r="I1417" s="26"/>
      <c r="J1417" s="51"/>
      <c r="K1417" s="26"/>
      <c r="L1417" s="87"/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  <c r="AW1417" s="87"/>
      <c r="AX1417" s="87"/>
      <c r="AY1417" s="87"/>
    </row>
    <row r="1418" spans="1:51" x14ac:dyDescent="0.2">
      <c r="A1418" s="87"/>
      <c r="B1418" s="26"/>
      <c r="D1418" s="26"/>
      <c r="E1418" s="26"/>
      <c r="F1418" s="26"/>
      <c r="G1418" s="26"/>
      <c r="H1418" s="87"/>
      <c r="I1418" s="26"/>
      <c r="J1418" s="51"/>
      <c r="K1418" s="26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87"/>
      <c r="AV1418" s="87"/>
      <c r="AW1418" s="87"/>
      <c r="AX1418" s="87"/>
      <c r="AY1418" s="87"/>
    </row>
    <row r="1419" spans="1:51" x14ac:dyDescent="0.2">
      <c r="A1419" s="87"/>
      <c r="B1419" s="26"/>
      <c r="D1419" s="26"/>
      <c r="E1419" s="26"/>
      <c r="F1419" s="26"/>
      <c r="G1419" s="26"/>
      <c r="H1419" s="87"/>
      <c r="I1419" s="26"/>
      <c r="J1419" s="51"/>
      <c r="K1419" s="26"/>
      <c r="L1419" s="87"/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87"/>
      <c r="AV1419" s="87"/>
      <c r="AW1419" s="87"/>
      <c r="AX1419" s="87"/>
      <c r="AY1419" s="87"/>
    </row>
    <row r="1420" spans="1:51" x14ac:dyDescent="0.2">
      <c r="A1420" s="87"/>
      <c r="B1420" s="26"/>
      <c r="D1420" s="26"/>
      <c r="E1420" s="26"/>
      <c r="F1420" s="26"/>
      <c r="G1420" s="26"/>
      <c r="H1420" s="87"/>
      <c r="I1420" s="26"/>
      <c r="J1420" s="51"/>
      <c r="K1420" s="26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87"/>
      <c r="AV1420" s="87"/>
      <c r="AW1420" s="87"/>
      <c r="AX1420" s="87"/>
      <c r="AY1420" s="87"/>
    </row>
    <row r="1421" spans="1:51" x14ac:dyDescent="0.2">
      <c r="A1421" s="87"/>
      <c r="B1421" s="26"/>
      <c r="D1421" s="26"/>
      <c r="E1421" s="26"/>
      <c r="F1421" s="26"/>
      <c r="G1421" s="26"/>
      <c r="H1421" s="87"/>
      <c r="I1421" s="26"/>
      <c r="J1421" s="51"/>
      <c r="K1421" s="26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  <c r="AW1421" s="87"/>
      <c r="AX1421" s="87"/>
      <c r="AY1421" s="87"/>
    </row>
    <row r="1422" spans="1:51" x14ac:dyDescent="0.2">
      <c r="A1422" s="87"/>
      <c r="B1422" s="26"/>
      <c r="D1422" s="26"/>
      <c r="E1422" s="26"/>
      <c r="F1422" s="26"/>
      <c r="G1422" s="26"/>
      <c r="H1422" s="87"/>
      <c r="I1422" s="26"/>
      <c r="J1422" s="51"/>
      <c r="K1422" s="26"/>
      <c r="L1422" s="87"/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87"/>
      <c r="AV1422" s="87"/>
      <c r="AW1422" s="87"/>
      <c r="AX1422" s="87"/>
      <c r="AY1422" s="87"/>
    </row>
    <row r="1423" spans="1:51" x14ac:dyDescent="0.2">
      <c r="A1423" s="87"/>
      <c r="B1423" s="26"/>
      <c r="D1423" s="26"/>
      <c r="E1423" s="26"/>
      <c r="F1423" s="26"/>
      <c r="G1423" s="26"/>
      <c r="H1423" s="87"/>
      <c r="I1423" s="26"/>
      <c r="J1423" s="51"/>
      <c r="K1423" s="26"/>
      <c r="L1423" s="87"/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  <c r="AW1423" s="87"/>
      <c r="AX1423" s="87"/>
      <c r="AY1423" s="87"/>
    </row>
    <row r="1424" spans="1:51" x14ac:dyDescent="0.2">
      <c r="A1424" s="87"/>
      <c r="B1424" s="26"/>
      <c r="D1424" s="26"/>
      <c r="E1424" s="26"/>
      <c r="F1424" s="26"/>
      <c r="G1424" s="26"/>
      <c r="H1424" s="87"/>
      <c r="I1424" s="26"/>
      <c r="J1424" s="51"/>
      <c r="K1424" s="26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  <c r="AW1424" s="87"/>
      <c r="AX1424" s="87"/>
      <c r="AY1424" s="87"/>
    </row>
    <row r="1425" spans="1:51" x14ac:dyDescent="0.2">
      <c r="A1425" s="87"/>
      <c r="B1425" s="26"/>
      <c r="D1425" s="26"/>
      <c r="E1425" s="26"/>
      <c r="F1425" s="26"/>
      <c r="G1425" s="26"/>
      <c r="H1425" s="87"/>
      <c r="I1425" s="26"/>
      <c r="J1425" s="51"/>
      <c r="K1425" s="26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  <c r="AW1425" s="87"/>
      <c r="AX1425" s="87"/>
      <c r="AY1425" s="87"/>
    </row>
    <row r="1426" spans="1:51" x14ac:dyDescent="0.2">
      <c r="A1426" s="87"/>
      <c r="B1426" s="26"/>
      <c r="D1426" s="26"/>
      <c r="E1426" s="26"/>
      <c r="F1426" s="26"/>
      <c r="G1426" s="26"/>
      <c r="H1426" s="87"/>
      <c r="I1426" s="26"/>
      <c r="J1426" s="51"/>
      <c r="K1426" s="26"/>
      <c r="L1426" s="87"/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  <c r="AW1426" s="87"/>
      <c r="AX1426" s="87"/>
      <c r="AY1426" s="87"/>
    </row>
    <row r="1427" spans="1:51" x14ac:dyDescent="0.2">
      <c r="A1427" s="87"/>
      <c r="B1427" s="26"/>
      <c r="D1427" s="26"/>
      <c r="E1427" s="26"/>
      <c r="F1427" s="26"/>
      <c r="G1427" s="26"/>
      <c r="H1427" s="87"/>
      <c r="I1427" s="26"/>
      <c r="J1427" s="51"/>
      <c r="K1427" s="26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87"/>
      <c r="AV1427" s="87"/>
      <c r="AW1427" s="87"/>
      <c r="AX1427" s="87"/>
      <c r="AY1427" s="87"/>
    </row>
    <row r="1428" spans="1:51" x14ac:dyDescent="0.2">
      <c r="A1428" s="87"/>
      <c r="B1428" s="26"/>
      <c r="D1428" s="26"/>
      <c r="E1428" s="26"/>
      <c r="F1428" s="26"/>
      <c r="G1428" s="26"/>
      <c r="H1428" s="87"/>
      <c r="I1428" s="26"/>
      <c r="J1428" s="51"/>
      <c r="K1428" s="26"/>
      <c r="L1428" s="87"/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87"/>
      <c r="AV1428" s="87"/>
      <c r="AW1428" s="87"/>
      <c r="AX1428" s="87"/>
      <c r="AY1428" s="87"/>
    </row>
    <row r="1429" spans="1:51" x14ac:dyDescent="0.2">
      <c r="A1429" s="87"/>
      <c r="B1429" s="26"/>
      <c r="D1429" s="26"/>
      <c r="E1429" s="26"/>
      <c r="F1429" s="26"/>
      <c r="G1429" s="26"/>
      <c r="H1429" s="87"/>
      <c r="I1429" s="26"/>
      <c r="J1429" s="51"/>
      <c r="K1429" s="26"/>
      <c r="L1429" s="87"/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  <c r="AW1429" s="87"/>
      <c r="AX1429" s="87"/>
      <c r="AY1429" s="87"/>
    </row>
    <row r="1430" spans="1:51" x14ac:dyDescent="0.2">
      <c r="A1430" s="87"/>
      <c r="B1430" s="26"/>
      <c r="D1430" s="26"/>
      <c r="E1430" s="26"/>
      <c r="F1430" s="26"/>
      <c r="G1430" s="26"/>
      <c r="H1430" s="87"/>
      <c r="I1430" s="26"/>
      <c r="J1430" s="51"/>
      <c r="K1430" s="26"/>
      <c r="L1430" s="87"/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87"/>
      <c r="AV1430" s="87"/>
      <c r="AW1430" s="87"/>
      <c r="AX1430" s="87"/>
      <c r="AY1430" s="87"/>
    </row>
    <row r="1431" spans="1:51" x14ac:dyDescent="0.2">
      <c r="A1431" s="87"/>
      <c r="B1431" s="26"/>
      <c r="D1431" s="26"/>
      <c r="E1431" s="26"/>
      <c r="F1431" s="26"/>
      <c r="G1431" s="26"/>
      <c r="H1431" s="87"/>
      <c r="I1431" s="26"/>
      <c r="J1431" s="51"/>
      <c r="K1431" s="26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  <c r="AW1431" s="87"/>
      <c r="AX1431" s="87"/>
      <c r="AY1431" s="87"/>
    </row>
    <row r="1432" spans="1:51" x14ac:dyDescent="0.2">
      <c r="A1432" s="87"/>
      <c r="B1432" s="26"/>
      <c r="D1432" s="26"/>
      <c r="E1432" s="26"/>
      <c r="F1432" s="26"/>
      <c r="G1432" s="26"/>
      <c r="H1432" s="87"/>
      <c r="I1432" s="26"/>
      <c r="J1432" s="51"/>
      <c r="K1432" s="26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  <c r="AW1432" s="87"/>
      <c r="AX1432" s="87"/>
      <c r="AY1432" s="87"/>
    </row>
    <row r="1433" spans="1:51" x14ac:dyDescent="0.2">
      <c r="A1433" s="87"/>
      <c r="B1433" s="26"/>
      <c r="D1433" s="26"/>
      <c r="E1433" s="26"/>
      <c r="F1433" s="26"/>
      <c r="G1433" s="26"/>
      <c r="H1433" s="87"/>
      <c r="I1433" s="26"/>
      <c r="J1433" s="51"/>
      <c r="K1433" s="26"/>
      <c r="L1433" s="87"/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  <c r="AW1433" s="87"/>
      <c r="AX1433" s="87"/>
      <c r="AY1433" s="87"/>
    </row>
    <row r="1434" spans="1:51" x14ac:dyDescent="0.2">
      <c r="A1434" s="87"/>
      <c r="B1434" s="26"/>
      <c r="D1434" s="26"/>
      <c r="E1434" s="26"/>
      <c r="F1434" s="26"/>
      <c r="G1434" s="26"/>
      <c r="H1434" s="87"/>
      <c r="I1434" s="26"/>
      <c r="J1434" s="51"/>
      <c r="K1434" s="26"/>
      <c r="L1434" s="87"/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</row>
    <row r="1435" spans="1:51" x14ac:dyDescent="0.2">
      <c r="A1435" s="87"/>
      <c r="B1435" s="26"/>
      <c r="D1435" s="26"/>
      <c r="E1435" s="26"/>
      <c r="F1435" s="26"/>
      <c r="G1435" s="26"/>
      <c r="H1435" s="87"/>
      <c r="I1435" s="26"/>
      <c r="J1435" s="51"/>
      <c r="K1435" s="26"/>
      <c r="L1435" s="87"/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87"/>
      <c r="AV1435" s="87"/>
      <c r="AW1435" s="87"/>
      <c r="AX1435" s="87"/>
      <c r="AY1435" s="87"/>
    </row>
    <row r="1436" spans="1:51" x14ac:dyDescent="0.2">
      <c r="A1436" s="87"/>
      <c r="B1436" s="26"/>
      <c r="D1436" s="26"/>
      <c r="E1436" s="26"/>
      <c r="F1436" s="26"/>
      <c r="G1436" s="26"/>
      <c r="H1436" s="87"/>
      <c r="I1436" s="26"/>
      <c r="J1436" s="51"/>
      <c r="K1436" s="26"/>
      <c r="L1436" s="87"/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  <c r="AW1436" s="87"/>
      <c r="AX1436" s="87"/>
      <c r="AY1436" s="87"/>
    </row>
    <row r="1437" spans="1:51" x14ac:dyDescent="0.2">
      <c r="A1437" s="87"/>
      <c r="B1437" s="26"/>
      <c r="D1437" s="26"/>
      <c r="E1437" s="26"/>
      <c r="F1437" s="26"/>
      <c r="G1437" s="26"/>
      <c r="H1437" s="87"/>
      <c r="I1437" s="26"/>
      <c r="J1437" s="51"/>
      <c r="K1437" s="26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87"/>
      <c r="AV1437" s="87"/>
      <c r="AW1437" s="87"/>
      <c r="AX1437" s="87"/>
      <c r="AY1437" s="87"/>
    </row>
    <row r="1438" spans="1:51" x14ac:dyDescent="0.2">
      <c r="A1438" s="87"/>
      <c r="B1438" s="26"/>
      <c r="D1438" s="26"/>
      <c r="E1438" s="26"/>
      <c r="F1438" s="26"/>
      <c r="G1438" s="26"/>
      <c r="H1438" s="87"/>
      <c r="I1438" s="26"/>
      <c r="J1438" s="51"/>
      <c r="K1438" s="26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87"/>
      <c r="AV1438" s="87"/>
      <c r="AW1438" s="87"/>
      <c r="AX1438" s="87"/>
      <c r="AY1438" s="87"/>
    </row>
    <row r="1439" spans="1:51" x14ac:dyDescent="0.2">
      <c r="A1439" s="87"/>
      <c r="B1439" s="26"/>
      <c r="D1439" s="26"/>
      <c r="E1439" s="26"/>
      <c r="F1439" s="26"/>
      <c r="G1439" s="26"/>
      <c r="H1439" s="87"/>
      <c r="I1439" s="26"/>
      <c r="J1439" s="51"/>
      <c r="K1439" s="26"/>
      <c r="L1439" s="87"/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87"/>
      <c r="AV1439" s="87"/>
      <c r="AW1439" s="87"/>
      <c r="AX1439" s="87"/>
      <c r="AY1439" s="87"/>
    </row>
    <row r="1440" spans="1:51" x14ac:dyDescent="0.2">
      <c r="A1440" s="87"/>
      <c r="B1440" s="26"/>
      <c r="D1440" s="26"/>
      <c r="E1440" s="26"/>
      <c r="F1440" s="26"/>
      <c r="G1440" s="26"/>
      <c r="H1440" s="87"/>
      <c r="I1440" s="26"/>
      <c r="J1440" s="51"/>
      <c r="K1440" s="26"/>
      <c r="L1440" s="87"/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  <c r="AW1440" s="87"/>
      <c r="AX1440" s="87"/>
      <c r="AY1440" s="87"/>
    </row>
    <row r="1441" spans="1:51" x14ac:dyDescent="0.2">
      <c r="A1441" s="87"/>
      <c r="B1441" s="26"/>
      <c r="D1441" s="26"/>
      <c r="E1441" s="26"/>
      <c r="F1441" s="26"/>
      <c r="G1441" s="26"/>
      <c r="H1441" s="87"/>
      <c r="I1441" s="26"/>
      <c r="J1441" s="51"/>
      <c r="K1441" s="26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  <c r="AW1441" s="87"/>
      <c r="AX1441" s="87"/>
      <c r="AY1441" s="87"/>
    </row>
    <row r="1442" spans="1:51" x14ac:dyDescent="0.2">
      <c r="A1442" s="87"/>
      <c r="B1442" s="26"/>
      <c r="D1442" s="26"/>
      <c r="E1442" s="26"/>
      <c r="F1442" s="26"/>
      <c r="G1442" s="26"/>
      <c r="H1442" s="87"/>
      <c r="I1442" s="26"/>
      <c r="J1442" s="51"/>
      <c r="K1442" s="26"/>
      <c r="L1442" s="87"/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87"/>
      <c r="AV1442" s="87"/>
      <c r="AW1442" s="87"/>
      <c r="AX1442" s="87"/>
      <c r="AY1442" s="87"/>
    </row>
    <row r="1443" spans="1:51" x14ac:dyDescent="0.2">
      <c r="A1443" s="87"/>
      <c r="B1443" s="26"/>
      <c r="D1443" s="26"/>
      <c r="E1443" s="26"/>
      <c r="F1443" s="26"/>
      <c r="G1443" s="26"/>
      <c r="H1443" s="87"/>
      <c r="I1443" s="26"/>
      <c r="J1443" s="51"/>
      <c r="K1443" s="26"/>
      <c r="L1443" s="87"/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  <c r="AW1443" s="87"/>
      <c r="AX1443" s="87"/>
      <c r="AY1443" s="87"/>
    </row>
    <row r="1444" spans="1:51" x14ac:dyDescent="0.2">
      <c r="A1444" s="87"/>
      <c r="B1444" s="26"/>
      <c r="D1444" s="26"/>
      <c r="E1444" s="26"/>
      <c r="F1444" s="26"/>
      <c r="G1444" s="26"/>
      <c r="H1444" s="87"/>
      <c r="I1444" s="26"/>
      <c r="J1444" s="51"/>
      <c r="K1444" s="26"/>
      <c r="L1444" s="87"/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  <c r="AW1444" s="87"/>
      <c r="AX1444" s="87"/>
      <c r="AY1444" s="87"/>
    </row>
    <row r="1445" spans="1:51" x14ac:dyDescent="0.2">
      <c r="A1445" s="87"/>
      <c r="B1445" s="26"/>
      <c r="D1445" s="26"/>
      <c r="E1445" s="26"/>
      <c r="F1445" s="26"/>
      <c r="G1445" s="26"/>
      <c r="H1445" s="87"/>
      <c r="I1445" s="26"/>
      <c r="J1445" s="51"/>
      <c r="K1445" s="26"/>
      <c r="L1445" s="87"/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  <c r="AW1445" s="87"/>
      <c r="AX1445" s="87"/>
      <c r="AY1445" s="87"/>
    </row>
    <row r="1446" spans="1:51" x14ac:dyDescent="0.2">
      <c r="A1446" s="87"/>
      <c r="B1446" s="26"/>
      <c r="D1446" s="26"/>
      <c r="E1446" s="26"/>
      <c r="F1446" s="26"/>
      <c r="G1446" s="26"/>
      <c r="H1446" s="87"/>
      <c r="I1446" s="26"/>
      <c r="J1446" s="51"/>
      <c r="K1446" s="26"/>
      <c r="L1446" s="87"/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87"/>
      <c r="AV1446" s="87"/>
      <c r="AW1446" s="87"/>
      <c r="AX1446" s="87"/>
      <c r="AY1446" s="87"/>
    </row>
    <row r="1447" spans="1:51" x14ac:dyDescent="0.2">
      <c r="A1447" s="87"/>
      <c r="B1447" s="26"/>
      <c r="D1447" s="26"/>
      <c r="E1447" s="26"/>
      <c r="F1447" s="26"/>
      <c r="G1447" s="26"/>
      <c r="H1447" s="87"/>
      <c r="I1447" s="26"/>
      <c r="J1447" s="51"/>
      <c r="K1447" s="26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87"/>
      <c r="AV1447" s="87"/>
      <c r="AW1447" s="87"/>
      <c r="AX1447" s="87"/>
      <c r="AY1447" s="87"/>
    </row>
    <row r="1448" spans="1:51" x14ac:dyDescent="0.2">
      <c r="A1448" s="87"/>
      <c r="B1448" s="26"/>
      <c r="D1448" s="26"/>
      <c r="E1448" s="26"/>
      <c r="F1448" s="26"/>
      <c r="G1448" s="26"/>
      <c r="H1448" s="87"/>
      <c r="I1448" s="26"/>
      <c r="J1448" s="51"/>
      <c r="K1448" s="26"/>
      <c r="L1448" s="87"/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</row>
    <row r="1449" spans="1:51" x14ac:dyDescent="0.2">
      <c r="A1449" s="87"/>
      <c r="B1449" s="26"/>
      <c r="D1449" s="26"/>
      <c r="E1449" s="26"/>
      <c r="F1449" s="26"/>
      <c r="G1449" s="26"/>
      <c r="H1449" s="87"/>
      <c r="I1449" s="26"/>
      <c r="J1449" s="51"/>
      <c r="K1449" s="26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  <c r="AW1449" s="87"/>
      <c r="AX1449" s="87"/>
      <c r="AY1449" s="87"/>
    </row>
    <row r="1450" spans="1:51" x14ac:dyDescent="0.2">
      <c r="A1450" s="87"/>
      <c r="B1450" s="26"/>
      <c r="D1450" s="26"/>
      <c r="E1450" s="26"/>
      <c r="F1450" s="26"/>
      <c r="G1450" s="26"/>
      <c r="H1450" s="87"/>
      <c r="I1450" s="26"/>
      <c r="J1450" s="51"/>
      <c r="K1450" s="26"/>
      <c r="L1450" s="87"/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  <c r="AW1450" s="87"/>
      <c r="AX1450" s="87"/>
      <c r="AY1450" s="87"/>
    </row>
    <row r="1451" spans="1:51" x14ac:dyDescent="0.2">
      <c r="A1451" s="87"/>
      <c r="B1451" s="26"/>
      <c r="D1451" s="26"/>
      <c r="E1451" s="26"/>
      <c r="F1451" s="26"/>
      <c r="G1451" s="26"/>
      <c r="H1451" s="87"/>
      <c r="I1451" s="26"/>
      <c r="J1451" s="51"/>
      <c r="K1451" s="26"/>
      <c r="L1451" s="87"/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  <c r="AW1451" s="87"/>
      <c r="AX1451" s="87"/>
      <c r="AY1451" s="87"/>
    </row>
    <row r="1452" spans="1:51" x14ac:dyDescent="0.2">
      <c r="A1452" s="87"/>
      <c r="B1452" s="26"/>
      <c r="D1452" s="26"/>
      <c r="E1452" s="26"/>
      <c r="F1452" s="26"/>
      <c r="G1452" s="26"/>
      <c r="H1452" s="87"/>
      <c r="I1452" s="26"/>
      <c r="J1452" s="51"/>
      <c r="K1452" s="26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87"/>
      <c r="AV1452" s="87"/>
      <c r="AW1452" s="87"/>
      <c r="AX1452" s="87"/>
      <c r="AY1452" s="87"/>
    </row>
    <row r="1453" spans="1:51" x14ac:dyDescent="0.2">
      <c r="A1453" s="87"/>
      <c r="B1453" s="26"/>
      <c r="D1453" s="26"/>
      <c r="E1453" s="26"/>
      <c r="F1453" s="26"/>
      <c r="G1453" s="26"/>
      <c r="H1453" s="87"/>
      <c r="I1453" s="26"/>
      <c r="J1453" s="51"/>
      <c r="K1453" s="26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  <c r="AW1453" s="87"/>
      <c r="AX1453" s="87"/>
      <c r="AY1453" s="87"/>
    </row>
    <row r="1454" spans="1:51" x14ac:dyDescent="0.2">
      <c r="A1454" s="87"/>
      <c r="B1454" s="26"/>
      <c r="D1454" s="26"/>
      <c r="E1454" s="26"/>
      <c r="F1454" s="26"/>
      <c r="G1454" s="26"/>
      <c r="H1454" s="87"/>
      <c r="I1454" s="26"/>
      <c r="J1454" s="51"/>
      <c r="K1454" s="26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  <c r="AW1454" s="87"/>
      <c r="AX1454" s="87"/>
      <c r="AY1454" s="87"/>
    </row>
    <row r="1455" spans="1:51" x14ac:dyDescent="0.2">
      <c r="A1455" s="87"/>
      <c r="B1455" s="26"/>
      <c r="D1455" s="26"/>
      <c r="E1455" s="26"/>
      <c r="F1455" s="26"/>
      <c r="G1455" s="26"/>
      <c r="H1455" s="87"/>
      <c r="I1455" s="26"/>
      <c r="J1455" s="51"/>
      <c r="K1455" s="26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87"/>
      <c r="AV1455" s="87"/>
      <c r="AW1455" s="87"/>
      <c r="AX1455" s="87"/>
      <c r="AY1455" s="87"/>
    </row>
    <row r="1456" spans="1:51" x14ac:dyDescent="0.2">
      <c r="A1456" s="87"/>
      <c r="B1456" s="26"/>
      <c r="D1456" s="26"/>
      <c r="E1456" s="26"/>
      <c r="F1456" s="26"/>
      <c r="G1456" s="26"/>
      <c r="H1456" s="87"/>
      <c r="I1456" s="26"/>
      <c r="J1456" s="51"/>
      <c r="K1456" s="26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  <c r="AW1456" s="87"/>
      <c r="AX1456" s="87"/>
      <c r="AY1456" s="87"/>
    </row>
    <row r="1457" spans="1:51" x14ac:dyDescent="0.2">
      <c r="A1457" s="87"/>
      <c r="B1457" s="26"/>
      <c r="D1457" s="26"/>
      <c r="E1457" s="26"/>
      <c r="F1457" s="26"/>
      <c r="G1457" s="26"/>
      <c r="H1457" s="87"/>
      <c r="I1457" s="26"/>
      <c r="J1457" s="51"/>
      <c r="K1457" s="26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87"/>
      <c r="AV1457" s="87"/>
      <c r="AW1457" s="87"/>
      <c r="AX1457" s="87"/>
      <c r="AY1457" s="87"/>
    </row>
    <row r="1458" spans="1:51" x14ac:dyDescent="0.2">
      <c r="A1458" s="87"/>
      <c r="B1458" s="26"/>
      <c r="D1458" s="26"/>
      <c r="E1458" s="26"/>
      <c r="F1458" s="26"/>
      <c r="G1458" s="26"/>
      <c r="H1458" s="87"/>
      <c r="I1458" s="26"/>
      <c r="J1458" s="51"/>
      <c r="K1458" s="26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  <c r="AW1458" s="87"/>
      <c r="AX1458" s="87"/>
      <c r="AY1458" s="87"/>
    </row>
    <row r="1459" spans="1:51" x14ac:dyDescent="0.2">
      <c r="A1459" s="87"/>
      <c r="B1459" s="26"/>
      <c r="D1459" s="26"/>
      <c r="E1459" s="26"/>
      <c r="F1459" s="26"/>
      <c r="G1459" s="26"/>
      <c r="H1459" s="87"/>
      <c r="I1459" s="26"/>
      <c r="J1459" s="51"/>
      <c r="K1459" s="26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  <c r="AW1459" s="87"/>
      <c r="AX1459" s="87"/>
      <c r="AY1459" s="87"/>
    </row>
    <row r="1460" spans="1:51" x14ac:dyDescent="0.2">
      <c r="A1460" s="87"/>
      <c r="B1460" s="26"/>
      <c r="D1460" s="26"/>
      <c r="E1460" s="26"/>
      <c r="F1460" s="26"/>
      <c r="G1460" s="26"/>
      <c r="H1460" s="87"/>
      <c r="I1460" s="26"/>
      <c r="J1460" s="51"/>
      <c r="K1460" s="26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87"/>
      <c r="AV1460" s="87"/>
      <c r="AW1460" s="87"/>
      <c r="AX1460" s="87"/>
      <c r="AY1460" s="87"/>
    </row>
    <row r="1461" spans="1:51" x14ac:dyDescent="0.2">
      <c r="A1461" s="87"/>
      <c r="B1461" s="26"/>
      <c r="D1461" s="26"/>
      <c r="E1461" s="26"/>
      <c r="F1461" s="26"/>
      <c r="G1461" s="26"/>
      <c r="H1461" s="87"/>
      <c r="I1461" s="26"/>
      <c r="J1461" s="51"/>
      <c r="K1461" s="26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87"/>
      <c r="AV1461" s="87"/>
      <c r="AW1461" s="87"/>
      <c r="AX1461" s="87"/>
      <c r="AY1461" s="87"/>
    </row>
    <row r="1462" spans="1:51" x14ac:dyDescent="0.2">
      <c r="A1462" s="87"/>
      <c r="B1462" s="26"/>
      <c r="D1462" s="26"/>
      <c r="E1462" s="26"/>
      <c r="F1462" s="26"/>
      <c r="G1462" s="26"/>
      <c r="H1462" s="87"/>
      <c r="I1462" s="26"/>
      <c r="J1462" s="51"/>
      <c r="K1462" s="26"/>
      <c r="L1462" s="87"/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87"/>
      <c r="AV1462" s="87"/>
      <c r="AW1462" s="87"/>
      <c r="AX1462" s="87"/>
      <c r="AY1462" s="87"/>
    </row>
    <row r="1463" spans="1:51" x14ac:dyDescent="0.2">
      <c r="A1463" s="87"/>
      <c r="B1463" s="26"/>
      <c r="D1463" s="26"/>
      <c r="E1463" s="26"/>
      <c r="F1463" s="26"/>
      <c r="G1463" s="26"/>
      <c r="H1463" s="87"/>
      <c r="I1463" s="26"/>
      <c r="J1463" s="51"/>
      <c r="K1463" s="26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  <c r="X1463" s="87"/>
      <c r="Y1463" s="87"/>
      <c r="Z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/>
      <c r="AU1463" s="87"/>
      <c r="AV1463" s="87"/>
      <c r="AW1463" s="87"/>
      <c r="AX1463" s="87"/>
      <c r="AY1463" s="87"/>
    </row>
    <row r="1464" spans="1:51" x14ac:dyDescent="0.2">
      <c r="A1464" s="87"/>
      <c r="B1464" s="26"/>
      <c r="D1464" s="26"/>
      <c r="E1464" s="26"/>
      <c r="F1464" s="26"/>
      <c r="G1464" s="26"/>
      <c r="H1464" s="87"/>
      <c r="I1464" s="26"/>
      <c r="J1464" s="51"/>
      <c r="K1464" s="26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87"/>
      <c r="AV1464" s="87"/>
      <c r="AW1464" s="87"/>
      <c r="AX1464" s="87"/>
      <c r="AY1464" s="87"/>
    </row>
    <row r="1465" spans="1:51" x14ac:dyDescent="0.2">
      <c r="A1465" s="87"/>
      <c r="B1465" s="26"/>
      <c r="D1465" s="26"/>
      <c r="E1465" s="26"/>
      <c r="F1465" s="26"/>
      <c r="G1465" s="26"/>
      <c r="H1465" s="87"/>
      <c r="I1465" s="26"/>
      <c r="J1465" s="51"/>
    </row>
    <row r="1466" spans="1:51" x14ac:dyDescent="0.2">
      <c r="A1466" s="87"/>
      <c r="B1466" s="26"/>
      <c r="D1466" s="26"/>
      <c r="E1466" s="26"/>
      <c r="F1466" s="26"/>
      <c r="G1466" s="26"/>
      <c r="H1466" s="87"/>
      <c r="I1466" s="26"/>
      <c r="J1466" s="51"/>
    </row>
    <row r="1467" spans="1:51" x14ac:dyDescent="0.2">
      <c r="A1467" s="87"/>
      <c r="B1467" s="26"/>
      <c r="D1467" s="26"/>
      <c r="E1467" s="26"/>
      <c r="F1467" s="26"/>
      <c r="G1467" s="26"/>
      <c r="H1467" s="87"/>
      <c r="I1467" s="26"/>
      <c r="J1467" s="51"/>
    </row>
    <row r="1468" spans="1:51" x14ac:dyDescent="0.2">
      <c r="A1468" s="87"/>
      <c r="B1468" s="26"/>
      <c r="D1468" s="26"/>
      <c r="E1468" s="26"/>
      <c r="F1468" s="26"/>
      <c r="G1468" s="26"/>
      <c r="H1468" s="87"/>
      <c r="I1468" s="26"/>
      <c r="J1468" s="51"/>
    </row>
    <row r="1469" spans="1:51" x14ac:dyDescent="0.2">
      <c r="A1469" s="87"/>
      <c r="B1469" s="26"/>
      <c r="D1469" s="26"/>
      <c r="E1469" s="26"/>
      <c r="F1469" s="26"/>
      <c r="G1469" s="26"/>
      <c r="H1469" s="87"/>
      <c r="I1469" s="26"/>
      <c r="J1469" s="51"/>
    </row>
    <row r="1470" spans="1:51" x14ac:dyDescent="0.2">
      <c r="A1470" s="87"/>
      <c r="B1470" s="26"/>
      <c r="D1470" s="26"/>
      <c r="E1470" s="26"/>
      <c r="F1470" s="26"/>
      <c r="G1470" s="26"/>
      <c r="H1470" s="87"/>
      <c r="I1470" s="26"/>
      <c r="J1470" s="51"/>
    </row>
    <row r="1471" spans="1:51" x14ac:dyDescent="0.2">
      <c r="A1471" s="87"/>
      <c r="B1471" s="26"/>
      <c r="D1471" s="26"/>
      <c r="E1471" s="26"/>
      <c r="F1471" s="26"/>
      <c r="G1471" s="26"/>
      <c r="H1471" s="87"/>
      <c r="I1471" s="26"/>
      <c r="J1471" s="51"/>
    </row>
    <row r="1472" spans="1:51" x14ac:dyDescent="0.2">
      <c r="A1472" s="87"/>
      <c r="B1472" s="26"/>
      <c r="D1472" s="26"/>
      <c r="E1472" s="26"/>
      <c r="F1472" s="26"/>
      <c r="G1472" s="26"/>
      <c r="H1472" s="87"/>
      <c r="I1472" s="26"/>
      <c r="J1472" s="51"/>
    </row>
    <row r="1473" spans="1:10" x14ac:dyDescent="0.2">
      <c r="A1473" s="87"/>
      <c r="B1473" s="26"/>
      <c r="D1473" s="26"/>
      <c r="E1473" s="26"/>
      <c r="F1473" s="26"/>
      <c r="G1473" s="26"/>
      <c r="H1473" s="87"/>
      <c r="I1473" s="26"/>
      <c r="J1473" s="51"/>
    </row>
    <row r="1474" spans="1:10" x14ac:dyDescent="0.2">
      <c r="A1474" s="87"/>
      <c r="B1474" s="26"/>
      <c r="D1474" s="26"/>
      <c r="E1474" s="26"/>
      <c r="F1474" s="26"/>
      <c r="G1474" s="26"/>
      <c r="H1474" s="87"/>
      <c r="I1474" s="26"/>
      <c r="J1474" s="51"/>
    </row>
    <row r="1475" spans="1:10" x14ac:dyDescent="0.2">
      <c r="A1475" s="87"/>
      <c r="B1475" s="26"/>
      <c r="D1475" s="26"/>
      <c r="E1475" s="26"/>
      <c r="F1475" s="26"/>
      <c r="G1475" s="26"/>
      <c r="H1475" s="87"/>
      <c r="I1475" s="26"/>
      <c r="J1475" s="51"/>
    </row>
    <row r="1476" spans="1:10" x14ac:dyDescent="0.2">
      <c r="A1476" s="87"/>
      <c r="B1476" s="26"/>
      <c r="D1476" s="26"/>
      <c r="E1476" s="26"/>
      <c r="F1476" s="26"/>
      <c r="G1476" s="26"/>
      <c r="H1476" s="87"/>
      <c r="I1476" s="26"/>
      <c r="J1476" s="51"/>
    </row>
    <row r="1477" spans="1:10" x14ac:dyDescent="0.2">
      <c r="A1477" s="87"/>
      <c r="B1477" s="26"/>
      <c r="D1477" s="26"/>
      <c r="E1477" s="26"/>
      <c r="F1477" s="26"/>
      <c r="G1477" s="26"/>
      <c r="H1477" s="87"/>
      <c r="I1477" s="26"/>
      <c r="J1477" s="51"/>
    </row>
    <row r="1478" spans="1:10" x14ac:dyDescent="0.2">
      <c r="D1478" s="26"/>
      <c r="E1478" s="26"/>
      <c r="F1478" s="26"/>
      <c r="G1478" s="26"/>
      <c r="H1478" s="87"/>
      <c r="I1478" s="26"/>
      <c r="J1478" s="51"/>
    </row>
    <row r="1479" spans="1:10" x14ac:dyDescent="0.2">
      <c r="D1479" s="26"/>
      <c r="E1479" s="26"/>
      <c r="F1479" s="26"/>
      <c r="G1479" s="26"/>
      <c r="H1479" s="87"/>
      <c r="I1479" s="26"/>
      <c r="J1479" s="51"/>
    </row>
    <row r="1480" spans="1:10" x14ac:dyDescent="0.2">
      <c r="D1480" s="26"/>
      <c r="E1480" s="26"/>
      <c r="F1480" s="26"/>
      <c r="G1480" s="26"/>
      <c r="H1480" s="87"/>
      <c r="I1480" s="26"/>
      <c r="J1480" s="51"/>
    </row>
    <row r="1481" spans="1:10" x14ac:dyDescent="0.2">
      <c r="D1481" s="26"/>
      <c r="E1481" s="26"/>
      <c r="F1481" s="26"/>
      <c r="G1481" s="26"/>
      <c r="H1481" s="87"/>
      <c r="I1481" s="26"/>
      <c r="J1481" s="51"/>
    </row>
    <row r="1482" spans="1:10" x14ac:dyDescent="0.2">
      <c r="D1482" s="26"/>
      <c r="E1482" s="26"/>
      <c r="F1482" s="26"/>
      <c r="G1482" s="26"/>
      <c r="H1482" s="87"/>
      <c r="I1482" s="26"/>
      <c r="J1482" s="51"/>
    </row>
    <row r="1483" spans="1:10" x14ac:dyDescent="0.2">
      <c r="D1483" s="26"/>
      <c r="E1483" s="26"/>
      <c r="F1483" s="26"/>
      <c r="G1483" s="26"/>
      <c r="H1483" s="87"/>
      <c r="I1483" s="26"/>
      <c r="J1483" s="51"/>
    </row>
    <row r="1484" spans="1:10" x14ac:dyDescent="0.2">
      <c r="D1484" s="26"/>
      <c r="E1484" s="26"/>
      <c r="F1484" s="26"/>
      <c r="G1484" s="26"/>
      <c r="H1484" s="87"/>
      <c r="I1484" s="26"/>
      <c r="J1484" s="51"/>
    </row>
  </sheetData>
  <mergeCells count="50">
    <mergeCell ref="A1:C3"/>
    <mergeCell ref="D1:I3"/>
    <mergeCell ref="M40:O40"/>
    <mergeCell ref="M31:S31"/>
    <mergeCell ref="Q39:AC39"/>
    <mergeCell ref="AB31:AC31"/>
    <mergeCell ref="L1:L3"/>
    <mergeCell ref="AH2:AO2"/>
    <mergeCell ref="AG39:AS39"/>
    <mergeCell ref="AP2:AV2"/>
    <mergeCell ref="M18:S18"/>
    <mergeCell ref="AA2:AG2"/>
    <mergeCell ref="T4:U4"/>
    <mergeCell ref="V4:W4"/>
    <mergeCell ref="X4:Y4"/>
    <mergeCell ref="M2:R2"/>
    <mergeCell ref="S2:Z2"/>
    <mergeCell ref="T18:Z18"/>
    <mergeCell ref="AA18:AG18"/>
    <mergeCell ref="AH18:AJ18"/>
    <mergeCell ref="AM18:AN18"/>
    <mergeCell ref="AP18:AQ18"/>
    <mergeCell ref="AT57:AU57"/>
    <mergeCell ref="R40:S40"/>
    <mergeCell ref="T40:U40"/>
    <mergeCell ref="V40:W40"/>
    <mergeCell ref="X40:Y40"/>
    <mergeCell ref="R57:S57"/>
    <mergeCell ref="T57:U57"/>
    <mergeCell ref="AH40:AI40"/>
    <mergeCell ref="AJ40:AK40"/>
    <mergeCell ref="AL40:AM40"/>
    <mergeCell ref="AN40:AO40"/>
    <mergeCell ref="AP40:AQ40"/>
    <mergeCell ref="Z40:AA40"/>
    <mergeCell ref="AR40:AS40"/>
    <mergeCell ref="AH57:AI57"/>
    <mergeCell ref="AJ57:AK57"/>
    <mergeCell ref="AL57:AM57"/>
    <mergeCell ref="AN57:AO57"/>
    <mergeCell ref="AP57:AQ57"/>
    <mergeCell ref="AR57:AS57"/>
    <mergeCell ref="AB40:AC40"/>
    <mergeCell ref="AE31:AE32"/>
    <mergeCell ref="V57:W57"/>
    <mergeCell ref="X57:Y57"/>
    <mergeCell ref="Z57:AA57"/>
    <mergeCell ref="AB57:AC57"/>
    <mergeCell ref="Q56:AC56"/>
    <mergeCell ref="T31:Z31"/>
  </mergeCells>
  <dataValidations count="2">
    <dataValidation type="list" allowBlank="1" showInputMessage="1" showErrorMessage="1" sqref="K8:K995">
      <formula1>INDIRECT(J8)</formula1>
    </dataValidation>
    <dataValidation type="list" allowBlank="1" showInputMessage="1" showErrorMessage="1" sqref="J9:J542">
      <formula1>Usuario</formula1>
    </dataValidation>
  </dataValidations>
  <pageMargins left="0.7" right="0.7" top="0.75" bottom="0.75" header="0.3" footer="0.3"/>
  <pageSetup paperSize="259" orientation="landscape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LEYENDA!$A$2:$A$15</xm:f>
          </x14:formula1>
          <xm:sqref>J543:J1119 J8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FFC000"/>
  </sheetPr>
  <dimension ref="A1:H1481"/>
  <sheetViews>
    <sheetView workbookViewId="0">
      <selection activeCell="G25" sqref="G25"/>
    </sheetView>
  </sheetViews>
  <sheetFormatPr baseColWidth="10" defaultRowHeight="12.75" x14ac:dyDescent="0.2"/>
  <cols>
    <col min="1" max="1" width="27.5703125" style="44" bestFit="1" customWidth="1"/>
    <col min="2" max="2" width="38.85546875" style="87" customWidth="1"/>
    <col min="3" max="3" width="33.5703125" style="120" customWidth="1"/>
    <col min="6" max="6" width="23.85546875" customWidth="1"/>
  </cols>
  <sheetData>
    <row r="1" spans="1:6" x14ac:dyDescent="0.2">
      <c r="B1" s="8"/>
    </row>
    <row r="2" spans="1:6" ht="12.75" customHeight="1" x14ac:dyDescent="0.2">
      <c r="A2" s="81" t="s">
        <v>94</v>
      </c>
    </row>
    <row r="3" spans="1:6" x14ac:dyDescent="0.2">
      <c r="A3" s="81" t="s">
        <v>27</v>
      </c>
    </row>
    <row r="4" spans="1:6" ht="15.75" customHeight="1" x14ac:dyDescent="0.2">
      <c r="A4" s="81" t="s">
        <v>92</v>
      </c>
      <c r="B4" s="87" t="s">
        <v>74</v>
      </c>
    </row>
    <row r="5" spans="1:6" x14ac:dyDescent="0.2">
      <c r="A5" s="81" t="s">
        <v>95</v>
      </c>
    </row>
    <row r="6" spans="1:6" ht="15.75" customHeight="1" x14ac:dyDescent="0.2">
      <c r="A6" s="81" t="s">
        <v>21</v>
      </c>
    </row>
    <row r="7" spans="1:6" ht="12.75" customHeight="1" x14ac:dyDescent="0.2">
      <c r="A7" s="81" t="s">
        <v>12</v>
      </c>
    </row>
    <row r="8" spans="1:6" x14ac:dyDescent="0.2">
      <c r="A8" s="81" t="s">
        <v>18</v>
      </c>
    </row>
    <row r="9" spans="1:6" ht="15.75" customHeight="1" x14ac:dyDescent="0.2">
      <c r="A9" s="81" t="s">
        <v>20</v>
      </c>
      <c r="B9" t="s">
        <v>73</v>
      </c>
    </row>
    <row r="10" spans="1:6" ht="15.75" customHeight="1" x14ac:dyDescent="0.2">
      <c r="A10" s="81" t="s">
        <v>136</v>
      </c>
      <c r="B10" t="s">
        <v>96</v>
      </c>
    </row>
    <row r="11" spans="1:6" ht="12.75" customHeight="1" x14ac:dyDescent="0.2">
      <c r="A11" s="81" t="s">
        <v>49</v>
      </c>
      <c r="B11" t="s">
        <v>72</v>
      </c>
    </row>
    <row r="12" spans="1:6" x14ac:dyDescent="0.2">
      <c r="A12" s="81" t="s">
        <v>19</v>
      </c>
    </row>
    <row r="13" spans="1:6" x14ac:dyDescent="0.2">
      <c r="A13" s="81" t="s">
        <v>70</v>
      </c>
      <c r="B13" s="87" t="s">
        <v>71</v>
      </c>
    </row>
    <row r="14" spans="1:6" ht="12.75" customHeight="1" x14ac:dyDescent="0.2">
      <c r="A14" s="89" t="s">
        <v>76</v>
      </c>
      <c r="B14" t="s">
        <v>77</v>
      </c>
      <c r="F14" t="s">
        <v>93</v>
      </c>
    </row>
    <row r="15" spans="1:6" x14ac:dyDescent="0.2">
      <c r="A15" s="81" t="s">
        <v>64</v>
      </c>
      <c r="C15"/>
    </row>
    <row r="16" spans="1:6" x14ac:dyDescent="0.2">
      <c r="A16" s="81" t="s">
        <v>215</v>
      </c>
      <c r="C16"/>
    </row>
    <row r="17" spans="1:8" x14ac:dyDescent="0.2">
      <c r="A17" s="81" t="s">
        <v>221</v>
      </c>
      <c r="B17"/>
      <c r="C17"/>
    </row>
    <row r="18" spans="1:8" x14ac:dyDescent="0.2">
      <c r="A18" s="81" t="s">
        <v>222</v>
      </c>
      <c r="C18"/>
    </row>
    <row r="19" spans="1:8" x14ac:dyDescent="0.2">
      <c r="C19"/>
    </row>
    <row r="20" spans="1:8" x14ac:dyDescent="0.2">
      <c r="C20"/>
    </row>
    <row r="21" spans="1:8" x14ac:dyDescent="0.2">
      <c r="A21" s="81" t="s">
        <v>94</v>
      </c>
      <c r="B21" s="81" t="s">
        <v>92</v>
      </c>
      <c r="C21" s="81" t="s">
        <v>95</v>
      </c>
      <c r="D21" s="81" t="s">
        <v>136</v>
      </c>
      <c r="E21" s="89"/>
      <c r="F21" s="81" t="s">
        <v>212</v>
      </c>
      <c r="G21" s="81" t="s">
        <v>221</v>
      </c>
      <c r="H21" s="81" t="s">
        <v>222</v>
      </c>
    </row>
    <row r="22" spans="1:8" x14ac:dyDescent="0.2">
      <c r="A22" t="s">
        <v>78</v>
      </c>
      <c r="B22" t="s">
        <v>126</v>
      </c>
      <c r="C22" s="43" t="s">
        <v>78</v>
      </c>
      <c r="D22" t="s">
        <v>138</v>
      </c>
      <c r="E22" s="89"/>
      <c r="F22" t="s">
        <v>213</v>
      </c>
      <c r="G22" t="s">
        <v>217</v>
      </c>
      <c r="H22" t="s">
        <v>225</v>
      </c>
    </row>
    <row r="23" spans="1:8" x14ac:dyDescent="0.2">
      <c r="A23" t="s">
        <v>79</v>
      </c>
      <c r="B23" t="s">
        <v>127</v>
      </c>
      <c r="C23" s="43" t="s">
        <v>79</v>
      </c>
      <c r="D23" t="s">
        <v>137</v>
      </c>
      <c r="F23" t="s">
        <v>214</v>
      </c>
      <c r="G23" t="s">
        <v>232</v>
      </c>
      <c r="H23" t="s">
        <v>223</v>
      </c>
    </row>
    <row r="24" spans="1:8" x14ac:dyDescent="0.2">
      <c r="A24" t="s">
        <v>80</v>
      </c>
      <c r="B24" t="s">
        <v>128</v>
      </c>
      <c r="C24" s="43" t="s">
        <v>80</v>
      </c>
      <c r="D24" s="43" t="s">
        <v>139</v>
      </c>
      <c r="G24" t="s">
        <v>234</v>
      </c>
      <c r="H24" t="s">
        <v>224</v>
      </c>
    </row>
    <row r="25" spans="1:8" x14ac:dyDescent="0.2">
      <c r="A25" t="s">
        <v>81</v>
      </c>
      <c r="B25" t="s">
        <v>129</v>
      </c>
      <c r="C25" s="43" t="s">
        <v>81</v>
      </c>
      <c r="D25" s="43" t="s">
        <v>140</v>
      </c>
      <c r="E25" s="89"/>
      <c r="H25" t="s">
        <v>226</v>
      </c>
    </row>
    <row r="26" spans="1:8" x14ac:dyDescent="0.2">
      <c r="A26" t="s">
        <v>132</v>
      </c>
      <c r="B26" t="s">
        <v>130</v>
      </c>
      <c r="C26" s="43" t="s">
        <v>132</v>
      </c>
      <c r="D26" t="s">
        <v>141</v>
      </c>
      <c r="E26" s="89"/>
      <c r="H26" t="s">
        <v>227</v>
      </c>
    </row>
    <row r="27" spans="1:8" x14ac:dyDescent="0.2">
      <c r="A27" t="s">
        <v>133</v>
      </c>
      <c r="B27" t="s">
        <v>131</v>
      </c>
      <c r="C27" s="43" t="s">
        <v>135</v>
      </c>
      <c r="D27" s="43" t="s">
        <v>142</v>
      </c>
    </row>
    <row r="28" spans="1:8" x14ac:dyDescent="0.2">
      <c r="A28" t="s">
        <v>134</v>
      </c>
      <c r="B28" t="s">
        <v>122</v>
      </c>
      <c r="C28" s="43" t="s">
        <v>134</v>
      </c>
      <c r="D28" s="43" t="s">
        <v>143</v>
      </c>
    </row>
    <row r="29" spans="1:8" x14ac:dyDescent="0.2">
      <c r="A29" t="s">
        <v>118</v>
      </c>
      <c r="B29" t="s">
        <v>123</v>
      </c>
      <c r="C29" s="43" t="s">
        <v>84</v>
      </c>
      <c r="D29" s="43" t="s">
        <v>144</v>
      </c>
    </row>
    <row r="30" spans="1:8" x14ac:dyDescent="0.2">
      <c r="A30" t="s">
        <v>119</v>
      </c>
      <c r="B30"/>
      <c r="C30" s="43" t="s">
        <v>85</v>
      </c>
      <c r="D30" s="43" t="s">
        <v>145</v>
      </c>
    </row>
    <row r="31" spans="1:8" x14ac:dyDescent="0.2">
      <c r="A31" t="s">
        <v>86</v>
      </c>
      <c r="B31"/>
      <c r="C31" s="43" t="s">
        <v>86</v>
      </c>
      <c r="D31" s="43" t="s">
        <v>146</v>
      </c>
    </row>
    <row r="32" spans="1:8" x14ac:dyDescent="0.2">
      <c r="A32"/>
      <c r="B32"/>
      <c r="C32"/>
      <c r="D32" s="43" t="s">
        <v>147</v>
      </c>
    </row>
    <row r="33" spans="1:4" x14ac:dyDescent="0.2">
      <c r="A33"/>
      <c r="B33"/>
      <c r="C33"/>
      <c r="D33" s="43" t="s">
        <v>148</v>
      </c>
    </row>
    <row r="34" spans="1:4" x14ac:dyDescent="0.2">
      <c r="A34"/>
      <c r="B34"/>
      <c r="C34"/>
      <c r="D34" s="43"/>
    </row>
    <row r="35" spans="1:4" x14ac:dyDescent="0.2">
      <c r="A35"/>
      <c r="B35"/>
      <c r="C35"/>
    </row>
    <row r="36" spans="1:4" x14ac:dyDescent="0.2">
      <c r="A36"/>
      <c r="B36"/>
      <c r="C36"/>
    </row>
    <row r="37" spans="1:4" x14ac:dyDescent="0.2">
      <c r="A37"/>
      <c r="B37"/>
      <c r="C37"/>
    </row>
    <row r="38" spans="1:4" x14ac:dyDescent="0.2">
      <c r="A38"/>
      <c r="B38"/>
      <c r="C38"/>
    </row>
    <row r="39" spans="1:4" x14ac:dyDescent="0.2">
      <c r="A39"/>
      <c r="B39"/>
      <c r="C39"/>
    </row>
    <row r="40" spans="1:4" x14ac:dyDescent="0.2">
      <c r="A40"/>
      <c r="B40"/>
      <c r="C40"/>
    </row>
    <row r="41" spans="1:4" x14ac:dyDescent="0.2">
      <c r="A41"/>
      <c r="B41"/>
      <c r="C41"/>
    </row>
    <row r="42" spans="1:4" x14ac:dyDescent="0.2">
      <c r="A42"/>
      <c r="B42"/>
      <c r="C42"/>
    </row>
    <row r="43" spans="1:4" x14ac:dyDescent="0.2">
      <c r="A43"/>
      <c r="B43"/>
      <c r="C43"/>
    </row>
    <row r="44" spans="1:4" x14ac:dyDescent="0.2">
      <c r="A44"/>
      <c r="B44"/>
      <c r="C44"/>
    </row>
    <row r="45" spans="1:4" x14ac:dyDescent="0.2">
      <c r="A45"/>
      <c r="B45"/>
      <c r="C45"/>
    </row>
    <row r="46" spans="1:4" x14ac:dyDescent="0.2">
      <c r="A46"/>
      <c r="B46"/>
      <c r="C46"/>
    </row>
    <row r="47" spans="1:4" x14ac:dyDescent="0.2">
      <c r="A47"/>
      <c r="B47"/>
      <c r="C47"/>
    </row>
    <row r="48" spans="1:4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A55"/>
      <c r="B55"/>
      <c r="C55"/>
    </row>
    <row r="56" spans="1:3" x14ac:dyDescent="0.2">
      <c r="A56"/>
      <c r="B56"/>
      <c r="C56"/>
    </row>
    <row r="57" spans="1:3" x14ac:dyDescent="0.2">
      <c r="A57"/>
      <c r="B57"/>
      <c r="C57"/>
    </row>
    <row r="58" spans="1:3" x14ac:dyDescent="0.2">
      <c r="A58"/>
      <c r="B58"/>
      <c r="C58"/>
    </row>
    <row r="59" spans="1:3" x14ac:dyDescent="0.2">
      <c r="A59"/>
      <c r="B59"/>
      <c r="C59"/>
    </row>
    <row r="60" spans="1:3" x14ac:dyDescent="0.2">
      <c r="A60"/>
      <c r="B60"/>
      <c r="C60"/>
    </row>
    <row r="61" spans="1:3" x14ac:dyDescent="0.2">
      <c r="A61"/>
      <c r="B61"/>
      <c r="C61"/>
    </row>
    <row r="62" spans="1:3" x14ac:dyDescent="0.2">
      <c r="A62"/>
      <c r="B62"/>
      <c r="C62"/>
    </row>
    <row r="63" spans="1:3" x14ac:dyDescent="0.2">
      <c r="A63"/>
      <c r="B63"/>
      <c r="C63"/>
    </row>
    <row r="64" spans="1:3" x14ac:dyDescent="0.2">
      <c r="A64"/>
      <c r="B64"/>
      <c r="C64"/>
    </row>
    <row r="65" spans="1:3" x14ac:dyDescent="0.2">
      <c r="A65"/>
      <c r="B65"/>
      <c r="C65"/>
    </row>
    <row r="66" spans="1:3" x14ac:dyDescent="0.2">
      <c r="A66"/>
      <c r="B66"/>
      <c r="C66"/>
    </row>
    <row r="67" spans="1:3" x14ac:dyDescent="0.2">
      <c r="A67"/>
      <c r="B67"/>
      <c r="C67"/>
    </row>
    <row r="68" spans="1:3" x14ac:dyDescent="0.2">
      <c r="A68"/>
      <c r="B68"/>
      <c r="C68"/>
    </row>
    <row r="69" spans="1:3" x14ac:dyDescent="0.2">
      <c r="A69"/>
      <c r="B69"/>
      <c r="C69"/>
    </row>
    <row r="70" spans="1:3" x14ac:dyDescent="0.2">
      <c r="A70"/>
      <c r="B70"/>
      <c r="C70"/>
    </row>
    <row r="71" spans="1:3" x14ac:dyDescent="0.2">
      <c r="A71"/>
      <c r="B71"/>
      <c r="C71"/>
    </row>
    <row r="72" spans="1:3" x14ac:dyDescent="0.2">
      <c r="A72"/>
      <c r="B72"/>
      <c r="C72"/>
    </row>
    <row r="73" spans="1:3" x14ac:dyDescent="0.2">
      <c r="A73"/>
      <c r="B73"/>
      <c r="C73"/>
    </row>
    <row r="74" spans="1:3" x14ac:dyDescent="0.2">
      <c r="A74"/>
      <c r="B74"/>
      <c r="C74"/>
    </row>
    <row r="75" spans="1:3" x14ac:dyDescent="0.2">
      <c r="A75"/>
      <c r="B75"/>
      <c r="C75"/>
    </row>
    <row r="76" spans="1:3" x14ac:dyDescent="0.2">
      <c r="A76"/>
      <c r="B76"/>
      <c r="C76"/>
    </row>
    <row r="77" spans="1:3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  <row r="82" spans="1:3" x14ac:dyDescent="0.2">
      <c r="A82"/>
      <c r="B82"/>
      <c r="C82"/>
    </row>
    <row r="83" spans="1:3" x14ac:dyDescent="0.2">
      <c r="A83"/>
      <c r="B83"/>
      <c r="C83"/>
    </row>
    <row r="84" spans="1:3" x14ac:dyDescent="0.2">
      <c r="A84"/>
      <c r="B84"/>
      <c r="C84"/>
    </row>
    <row r="85" spans="1:3" x14ac:dyDescent="0.2">
      <c r="A85"/>
      <c r="B85"/>
      <c r="C85"/>
    </row>
    <row r="86" spans="1:3" x14ac:dyDescent="0.2">
      <c r="A86"/>
      <c r="B86"/>
      <c r="C86"/>
    </row>
    <row r="87" spans="1:3" x14ac:dyDescent="0.2">
      <c r="A87"/>
      <c r="B87"/>
      <c r="C87"/>
    </row>
    <row r="88" spans="1:3" x14ac:dyDescent="0.2">
      <c r="A88"/>
      <c r="B88"/>
      <c r="C88"/>
    </row>
    <row r="89" spans="1:3" x14ac:dyDescent="0.2">
      <c r="A89"/>
      <c r="B89"/>
      <c r="C89"/>
    </row>
    <row r="90" spans="1:3" x14ac:dyDescent="0.2">
      <c r="A90"/>
      <c r="B90"/>
      <c r="C90"/>
    </row>
    <row r="91" spans="1:3" x14ac:dyDescent="0.2">
      <c r="A91"/>
      <c r="B91"/>
      <c r="C91"/>
    </row>
    <row r="92" spans="1:3" x14ac:dyDescent="0.2">
      <c r="A92"/>
      <c r="B92"/>
      <c r="C92"/>
    </row>
    <row r="93" spans="1:3" x14ac:dyDescent="0.2">
      <c r="A93"/>
      <c r="B93"/>
      <c r="C93"/>
    </row>
    <row r="94" spans="1:3" x14ac:dyDescent="0.2">
      <c r="A94"/>
      <c r="B94"/>
      <c r="C94"/>
    </row>
    <row r="95" spans="1:3" x14ac:dyDescent="0.2">
      <c r="A95"/>
      <c r="B95"/>
      <c r="C95"/>
    </row>
    <row r="96" spans="1:3" x14ac:dyDescent="0.2">
      <c r="A96"/>
      <c r="B96"/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x14ac:dyDescent="0.2">
      <c r="A100"/>
      <c r="B100"/>
      <c r="C100"/>
    </row>
    <row r="101" spans="1:3" x14ac:dyDescent="0.2">
      <c r="A101"/>
      <c r="B101"/>
      <c r="C101"/>
    </row>
    <row r="102" spans="1:3" x14ac:dyDescent="0.2">
      <c r="A102"/>
      <c r="B102"/>
      <c r="C102"/>
    </row>
    <row r="103" spans="1:3" x14ac:dyDescent="0.2">
      <c r="A103"/>
      <c r="B103"/>
      <c r="C103"/>
    </row>
    <row r="104" spans="1:3" x14ac:dyDescent="0.2">
      <c r="A104"/>
      <c r="B104"/>
      <c r="C104"/>
    </row>
    <row r="105" spans="1:3" x14ac:dyDescent="0.2">
      <c r="A105"/>
      <c r="B105"/>
      <c r="C105"/>
    </row>
    <row r="106" spans="1:3" x14ac:dyDescent="0.2">
      <c r="A106"/>
      <c r="B106"/>
      <c r="C106"/>
    </row>
    <row r="107" spans="1:3" x14ac:dyDescent="0.2">
      <c r="A107"/>
      <c r="B107"/>
      <c r="C107"/>
    </row>
    <row r="108" spans="1:3" x14ac:dyDescent="0.2">
      <c r="A108"/>
      <c r="B108"/>
      <c r="C108"/>
    </row>
    <row r="109" spans="1:3" x14ac:dyDescent="0.2">
      <c r="A109"/>
      <c r="B109"/>
      <c r="C109"/>
    </row>
    <row r="110" spans="1:3" x14ac:dyDescent="0.2">
      <c r="A110"/>
      <c r="B110"/>
      <c r="C110"/>
    </row>
    <row r="111" spans="1:3" x14ac:dyDescent="0.2">
      <c r="A111"/>
      <c r="B111"/>
      <c r="C111"/>
    </row>
    <row r="112" spans="1:3" x14ac:dyDescent="0.2">
      <c r="A112"/>
      <c r="B112"/>
      <c r="C112"/>
    </row>
    <row r="113" spans="1:3" x14ac:dyDescent="0.2">
      <c r="A113"/>
      <c r="B113"/>
      <c r="C113"/>
    </row>
    <row r="114" spans="1:3" x14ac:dyDescent="0.2">
      <c r="A114"/>
      <c r="B114"/>
      <c r="C114"/>
    </row>
    <row r="115" spans="1:3" x14ac:dyDescent="0.2">
      <c r="A115"/>
      <c r="B115"/>
      <c r="C115"/>
    </row>
    <row r="116" spans="1:3" x14ac:dyDescent="0.2">
      <c r="A116"/>
      <c r="B116"/>
      <c r="C116"/>
    </row>
    <row r="117" spans="1:3" x14ac:dyDescent="0.2">
      <c r="A117"/>
      <c r="B117"/>
      <c r="C117"/>
    </row>
    <row r="118" spans="1:3" x14ac:dyDescent="0.2">
      <c r="A118"/>
      <c r="B118"/>
      <c r="C118"/>
    </row>
    <row r="119" spans="1:3" x14ac:dyDescent="0.2">
      <c r="A119"/>
      <c r="B119"/>
      <c r="C119"/>
    </row>
    <row r="120" spans="1:3" x14ac:dyDescent="0.2">
      <c r="A120"/>
      <c r="B120"/>
      <c r="C120"/>
    </row>
    <row r="121" spans="1:3" x14ac:dyDescent="0.2">
      <c r="A121"/>
      <c r="B121"/>
      <c r="C121"/>
    </row>
    <row r="122" spans="1:3" x14ac:dyDescent="0.2">
      <c r="A122"/>
      <c r="B122"/>
      <c r="C122"/>
    </row>
    <row r="123" spans="1:3" x14ac:dyDescent="0.2">
      <c r="A123"/>
      <c r="B123"/>
      <c r="C123"/>
    </row>
    <row r="124" spans="1:3" x14ac:dyDescent="0.2">
      <c r="A124"/>
      <c r="B124"/>
      <c r="C124"/>
    </row>
    <row r="125" spans="1:3" x14ac:dyDescent="0.2">
      <c r="A125"/>
      <c r="B125"/>
      <c r="C125"/>
    </row>
    <row r="126" spans="1:3" x14ac:dyDescent="0.2">
      <c r="A126"/>
      <c r="B126"/>
      <c r="C126"/>
    </row>
    <row r="127" spans="1:3" x14ac:dyDescent="0.2">
      <c r="A127"/>
      <c r="B127"/>
      <c r="C127"/>
    </row>
    <row r="128" spans="1:3" x14ac:dyDescent="0.2">
      <c r="A128"/>
      <c r="B128"/>
      <c r="C128"/>
    </row>
    <row r="129" spans="1:3" x14ac:dyDescent="0.2">
      <c r="A129"/>
      <c r="B129"/>
      <c r="C129"/>
    </row>
    <row r="130" spans="1:3" x14ac:dyDescent="0.2">
      <c r="A130"/>
      <c r="B130"/>
      <c r="C130"/>
    </row>
    <row r="131" spans="1:3" x14ac:dyDescent="0.2">
      <c r="A131"/>
      <c r="B131"/>
      <c r="C131"/>
    </row>
    <row r="132" spans="1:3" x14ac:dyDescent="0.2">
      <c r="A132"/>
      <c r="B132"/>
      <c r="C132"/>
    </row>
    <row r="133" spans="1:3" x14ac:dyDescent="0.2">
      <c r="A133"/>
      <c r="B133"/>
      <c r="C133"/>
    </row>
    <row r="134" spans="1:3" x14ac:dyDescent="0.2">
      <c r="A134"/>
      <c r="B134"/>
      <c r="C134"/>
    </row>
    <row r="135" spans="1:3" x14ac:dyDescent="0.2">
      <c r="A135"/>
      <c r="B135"/>
      <c r="C135"/>
    </row>
    <row r="136" spans="1:3" x14ac:dyDescent="0.2">
      <c r="A136"/>
      <c r="B136"/>
      <c r="C136"/>
    </row>
    <row r="137" spans="1:3" x14ac:dyDescent="0.2">
      <c r="A137"/>
      <c r="B137"/>
      <c r="C137"/>
    </row>
    <row r="138" spans="1:3" x14ac:dyDescent="0.2">
      <c r="A138"/>
      <c r="B138"/>
      <c r="C138"/>
    </row>
    <row r="139" spans="1:3" x14ac:dyDescent="0.2">
      <c r="A139"/>
      <c r="B139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  <row r="148" spans="1:3" x14ac:dyDescent="0.2">
      <c r="A148"/>
      <c r="B148"/>
      <c r="C148"/>
    </row>
    <row r="149" spans="1:3" x14ac:dyDescent="0.2">
      <c r="A149"/>
      <c r="B149"/>
      <c r="C149"/>
    </row>
    <row r="150" spans="1:3" x14ac:dyDescent="0.2">
      <c r="A150"/>
      <c r="B150"/>
      <c r="C150"/>
    </row>
    <row r="151" spans="1:3" x14ac:dyDescent="0.2">
      <c r="A151"/>
      <c r="B151"/>
      <c r="C151"/>
    </row>
    <row r="152" spans="1:3" x14ac:dyDescent="0.2">
      <c r="A152"/>
      <c r="B152"/>
      <c r="C152"/>
    </row>
    <row r="153" spans="1:3" x14ac:dyDescent="0.2">
      <c r="A153"/>
      <c r="B153"/>
      <c r="C153"/>
    </row>
    <row r="154" spans="1:3" x14ac:dyDescent="0.2">
      <c r="A154"/>
      <c r="B154"/>
      <c r="C154"/>
    </row>
    <row r="155" spans="1:3" x14ac:dyDescent="0.2">
      <c r="A155"/>
      <c r="B155"/>
      <c r="C155"/>
    </row>
    <row r="156" spans="1:3" x14ac:dyDescent="0.2">
      <c r="A156"/>
      <c r="B156"/>
      <c r="C156"/>
    </row>
    <row r="157" spans="1:3" x14ac:dyDescent="0.2">
      <c r="A157"/>
      <c r="B157"/>
      <c r="C157"/>
    </row>
    <row r="158" spans="1:3" x14ac:dyDescent="0.2">
      <c r="A158"/>
      <c r="B158"/>
      <c r="C158"/>
    </row>
    <row r="159" spans="1:3" x14ac:dyDescent="0.2">
      <c r="A159"/>
      <c r="B159"/>
      <c r="C159"/>
    </row>
    <row r="160" spans="1:3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  <row r="300" spans="1:3" x14ac:dyDescent="0.2">
      <c r="A300"/>
      <c r="B300"/>
      <c r="C300"/>
    </row>
    <row r="301" spans="1:3" x14ac:dyDescent="0.2">
      <c r="A301"/>
      <c r="B301"/>
      <c r="C301"/>
    </row>
    <row r="302" spans="1:3" x14ac:dyDescent="0.2">
      <c r="A302"/>
      <c r="B302"/>
      <c r="C302"/>
    </row>
    <row r="303" spans="1:3" x14ac:dyDescent="0.2">
      <c r="A303"/>
      <c r="B303"/>
      <c r="C303"/>
    </row>
    <row r="304" spans="1:3" x14ac:dyDescent="0.2">
      <c r="A304"/>
      <c r="B304"/>
      <c r="C304"/>
    </row>
    <row r="305" spans="1:3" x14ac:dyDescent="0.2">
      <c r="A305"/>
      <c r="B305"/>
      <c r="C305"/>
    </row>
    <row r="306" spans="1:3" x14ac:dyDescent="0.2">
      <c r="A306"/>
      <c r="B306"/>
      <c r="C306"/>
    </row>
    <row r="307" spans="1:3" x14ac:dyDescent="0.2">
      <c r="A307"/>
      <c r="B307"/>
      <c r="C307"/>
    </row>
    <row r="308" spans="1:3" x14ac:dyDescent="0.2">
      <c r="A308"/>
      <c r="B308"/>
      <c r="C308"/>
    </row>
    <row r="309" spans="1:3" x14ac:dyDescent="0.2">
      <c r="A309"/>
      <c r="B309"/>
      <c r="C309"/>
    </row>
    <row r="310" spans="1:3" x14ac:dyDescent="0.2">
      <c r="A310"/>
      <c r="B310"/>
      <c r="C310"/>
    </row>
    <row r="311" spans="1:3" x14ac:dyDescent="0.2">
      <c r="A311"/>
      <c r="B311"/>
      <c r="C311"/>
    </row>
    <row r="312" spans="1:3" x14ac:dyDescent="0.2">
      <c r="A312"/>
      <c r="B312"/>
      <c r="C312"/>
    </row>
    <row r="313" spans="1:3" x14ac:dyDescent="0.2">
      <c r="A313"/>
      <c r="B313"/>
      <c r="C313"/>
    </row>
    <row r="314" spans="1:3" x14ac:dyDescent="0.2">
      <c r="A314"/>
      <c r="B314"/>
      <c r="C314"/>
    </row>
    <row r="315" spans="1:3" x14ac:dyDescent="0.2">
      <c r="A315"/>
      <c r="B315"/>
      <c r="C315"/>
    </row>
    <row r="316" spans="1:3" x14ac:dyDescent="0.2">
      <c r="A316"/>
      <c r="B316"/>
      <c r="C316"/>
    </row>
    <row r="317" spans="1:3" x14ac:dyDescent="0.2">
      <c r="A317"/>
      <c r="B317"/>
      <c r="C317"/>
    </row>
    <row r="318" spans="1:3" x14ac:dyDescent="0.2">
      <c r="A318"/>
      <c r="B318"/>
      <c r="C318"/>
    </row>
    <row r="319" spans="1:3" x14ac:dyDescent="0.2">
      <c r="A319"/>
      <c r="B319"/>
      <c r="C319"/>
    </row>
    <row r="320" spans="1:3" x14ac:dyDescent="0.2">
      <c r="A320"/>
      <c r="B320"/>
      <c r="C320"/>
    </row>
    <row r="321" spans="1:3" x14ac:dyDescent="0.2">
      <c r="A321"/>
      <c r="B321"/>
      <c r="C321"/>
    </row>
    <row r="322" spans="1:3" x14ac:dyDescent="0.2">
      <c r="A322"/>
      <c r="B322"/>
      <c r="C322"/>
    </row>
    <row r="323" spans="1:3" x14ac:dyDescent="0.2">
      <c r="A323"/>
      <c r="B323"/>
      <c r="C323"/>
    </row>
    <row r="324" spans="1:3" x14ac:dyDescent="0.2">
      <c r="A324"/>
      <c r="B324"/>
      <c r="C324"/>
    </row>
    <row r="325" spans="1:3" x14ac:dyDescent="0.2">
      <c r="A325"/>
      <c r="B325"/>
      <c r="C325"/>
    </row>
    <row r="326" spans="1:3" x14ac:dyDescent="0.2">
      <c r="A326"/>
      <c r="B326"/>
      <c r="C326"/>
    </row>
    <row r="327" spans="1:3" x14ac:dyDescent="0.2">
      <c r="A327"/>
      <c r="B327"/>
      <c r="C327"/>
    </row>
    <row r="328" spans="1:3" x14ac:dyDescent="0.2">
      <c r="A328"/>
      <c r="B328"/>
      <c r="C328"/>
    </row>
    <row r="329" spans="1:3" x14ac:dyDescent="0.2">
      <c r="A329"/>
      <c r="B329"/>
      <c r="C329"/>
    </row>
    <row r="330" spans="1:3" x14ac:dyDescent="0.2">
      <c r="A330"/>
      <c r="B330"/>
      <c r="C330"/>
    </row>
    <row r="331" spans="1:3" x14ac:dyDescent="0.2">
      <c r="A331"/>
      <c r="B331"/>
      <c r="C331"/>
    </row>
    <row r="332" spans="1:3" x14ac:dyDescent="0.2">
      <c r="A332"/>
      <c r="B332"/>
      <c r="C332"/>
    </row>
    <row r="333" spans="1:3" x14ac:dyDescent="0.2">
      <c r="A333"/>
      <c r="B333"/>
      <c r="C333"/>
    </row>
    <row r="334" spans="1:3" x14ac:dyDescent="0.2">
      <c r="A334"/>
      <c r="B334"/>
      <c r="C334"/>
    </row>
    <row r="335" spans="1:3" x14ac:dyDescent="0.2">
      <c r="A335"/>
      <c r="B335"/>
      <c r="C335"/>
    </row>
    <row r="336" spans="1:3" x14ac:dyDescent="0.2">
      <c r="A336"/>
      <c r="B336"/>
      <c r="C336"/>
    </row>
    <row r="337" spans="1:3" x14ac:dyDescent="0.2">
      <c r="A337"/>
      <c r="B337"/>
      <c r="C337"/>
    </row>
    <row r="338" spans="1:3" x14ac:dyDescent="0.2">
      <c r="A338"/>
      <c r="B338"/>
      <c r="C338"/>
    </row>
    <row r="339" spans="1:3" x14ac:dyDescent="0.2">
      <c r="A339"/>
      <c r="B339"/>
      <c r="C339"/>
    </row>
    <row r="340" spans="1:3" x14ac:dyDescent="0.2">
      <c r="A340"/>
      <c r="B340"/>
      <c r="C340"/>
    </row>
    <row r="341" spans="1:3" x14ac:dyDescent="0.2">
      <c r="A341"/>
      <c r="B341"/>
      <c r="C341"/>
    </row>
    <row r="342" spans="1:3" x14ac:dyDescent="0.2">
      <c r="A342"/>
      <c r="B342"/>
      <c r="C342"/>
    </row>
    <row r="343" spans="1:3" x14ac:dyDescent="0.2">
      <c r="A343"/>
      <c r="B343"/>
      <c r="C343"/>
    </row>
    <row r="344" spans="1:3" x14ac:dyDescent="0.2">
      <c r="A344"/>
      <c r="B344"/>
      <c r="C344"/>
    </row>
    <row r="345" spans="1:3" x14ac:dyDescent="0.2">
      <c r="A345"/>
      <c r="B345"/>
      <c r="C345"/>
    </row>
    <row r="346" spans="1:3" x14ac:dyDescent="0.2">
      <c r="A346"/>
      <c r="B346"/>
      <c r="C346"/>
    </row>
    <row r="347" spans="1:3" x14ac:dyDescent="0.2">
      <c r="A347"/>
      <c r="B347"/>
      <c r="C347"/>
    </row>
    <row r="348" spans="1:3" x14ac:dyDescent="0.2">
      <c r="A348"/>
      <c r="B348"/>
      <c r="C348"/>
    </row>
    <row r="349" spans="1:3" x14ac:dyDescent="0.2">
      <c r="A349"/>
      <c r="B349"/>
      <c r="C349"/>
    </row>
    <row r="350" spans="1:3" x14ac:dyDescent="0.2">
      <c r="A350"/>
      <c r="B350"/>
      <c r="C350"/>
    </row>
    <row r="351" spans="1:3" x14ac:dyDescent="0.2">
      <c r="A351"/>
      <c r="B351"/>
      <c r="C351"/>
    </row>
    <row r="352" spans="1:3" x14ac:dyDescent="0.2">
      <c r="A352"/>
      <c r="B352"/>
      <c r="C352"/>
    </row>
    <row r="353" spans="1:3" x14ac:dyDescent="0.2">
      <c r="A353"/>
      <c r="B353"/>
      <c r="C353"/>
    </row>
    <row r="354" spans="1:3" x14ac:dyDescent="0.2">
      <c r="A354"/>
      <c r="B354"/>
      <c r="C354"/>
    </row>
    <row r="355" spans="1:3" x14ac:dyDescent="0.2">
      <c r="A355"/>
      <c r="B355"/>
      <c r="C355"/>
    </row>
    <row r="356" spans="1:3" x14ac:dyDescent="0.2">
      <c r="A356"/>
      <c r="B356"/>
      <c r="C356"/>
    </row>
    <row r="357" spans="1:3" x14ac:dyDescent="0.2">
      <c r="A357"/>
      <c r="B357"/>
      <c r="C357"/>
    </row>
    <row r="358" spans="1:3" x14ac:dyDescent="0.2">
      <c r="A358"/>
      <c r="B358"/>
      <c r="C358"/>
    </row>
    <row r="359" spans="1:3" x14ac:dyDescent="0.2">
      <c r="A359"/>
      <c r="B359"/>
      <c r="C359"/>
    </row>
    <row r="360" spans="1:3" x14ac:dyDescent="0.2">
      <c r="A360"/>
      <c r="B360"/>
      <c r="C360"/>
    </row>
    <row r="361" spans="1:3" x14ac:dyDescent="0.2">
      <c r="A361"/>
      <c r="B361"/>
      <c r="C361"/>
    </row>
    <row r="362" spans="1:3" x14ac:dyDescent="0.2">
      <c r="A362"/>
      <c r="B362"/>
      <c r="C362"/>
    </row>
    <row r="363" spans="1:3" x14ac:dyDescent="0.2">
      <c r="A363"/>
      <c r="B363"/>
      <c r="C363"/>
    </row>
    <row r="364" spans="1:3" x14ac:dyDescent="0.2">
      <c r="A364"/>
      <c r="B364"/>
      <c r="C364"/>
    </row>
    <row r="365" spans="1:3" x14ac:dyDescent="0.2">
      <c r="A365"/>
      <c r="B365"/>
      <c r="C365"/>
    </row>
    <row r="366" spans="1:3" x14ac:dyDescent="0.2">
      <c r="A366"/>
      <c r="B366"/>
      <c r="C366"/>
    </row>
    <row r="367" spans="1:3" x14ac:dyDescent="0.2">
      <c r="A367"/>
      <c r="B367"/>
      <c r="C367"/>
    </row>
    <row r="368" spans="1:3" x14ac:dyDescent="0.2">
      <c r="A368"/>
      <c r="B368"/>
      <c r="C368"/>
    </row>
    <row r="369" spans="1:3" x14ac:dyDescent="0.2">
      <c r="A369"/>
      <c r="B369"/>
      <c r="C369"/>
    </row>
    <row r="370" spans="1:3" x14ac:dyDescent="0.2">
      <c r="A370"/>
      <c r="B370"/>
      <c r="C370"/>
    </row>
    <row r="371" spans="1:3" x14ac:dyDescent="0.2">
      <c r="A371"/>
      <c r="B371"/>
      <c r="C371"/>
    </row>
    <row r="372" spans="1:3" x14ac:dyDescent="0.2">
      <c r="A372"/>
      <c r="B372"/>
      <c r="C372"/>
    </row>
    <row r="373" spans="1:3" x14ac:dyDescent="0.2">
      <c r="A373"/>
      <c r="B373"/>
      <c r="C373"/>
    </row>
    <row r="374" spans="1:3" x14ac:dyDescent="0.2">
      <c r="A374"/>
      <c r="B374"/>
      <c r="C374"/>
    </row>
    <row r="375" spans="1:3" x14ac:dyDescent="0.2">
      <c r="A375"/>
      <c r="B375"/>
      <c r="C375"/>
    </row>
    <row r="376" spans="1:3" x14ac:dyDescent="0.2">
      <c r="A376"/>
      <c r="B376"/>
      <c r="C376"/>
    </row>
    <row r="377" spans="1:3" x14ac:dyDescent="0.2">
      <c r="A377"/>
      <c r="B377"/>
      <c r="C377"/>
    </row>
    <row r="378" spans="1:3" x14ac:dyDescent="0.2">
      <c r="A378"/>
      <c r="B378"/>
      <c r="C378"/>
    </row>
    <row r="379" spans="1:3" x14ac:dyDescent="0.2">
      <c r="A379"/>
      <c r="B379"/>
      <c r="C379"/>
    </row>
    <row r="380" spans="1:3" x14ac:dyDescent="0.2">
      <c r="A380"/>
      <c r="B380"/>
      <c r="C380"/>
    </row>
    <row r="381" spans="1:3" x14ac:dyDescent="0.2">
      <c r="A381"/>
      <c r="B381"/>
      <c r="C381"/>
    </row>
    <row r="382" spans="1:3" x14ac:dyDescent="0.2">
      <c r="A382"/>
      <c r="B382"/>
      <c r="C382"/>
    </row>
    <row r="383" spans="1:3" x14ac:dyDescent="0.2">
      <c r="A383"/>
      <c r="B383"/>
      <c r="C383"/>
    </row>
    <row r="384" spans="1:3" x14ac:dyDescent="0.2">
      <c r="A384"/>
      <c r="B384"/>
      <c r="C384"/>
    </row>
    <row r="385" spans="1:3" x14ac:dyDescent="0.2">
      <c r="A385"/>
      <c r="B385"/>
      <c r="C385"/>
    </row>
    <row r="386" spans="1:3" x14ac:dyDescent="0.2">
      <c r="A386"/>
      <c r="B386"/>
      <c r="C386"/>
    </row>
    <row r="387" spans="1:3" x14ac:dyDescent="0.2">
      <c r="A387"/>
      <c r="B387"/>
      <c r="C387"/>
    </row>
    <row r="388" spans="1:3" x14ac:dyDescent="0.2">
      <c r="A388"/>
      <c r="B388"/>
      <c r="C388"/>
    </row>
    <row r="389" spans="1:3" x14ac:dyDescent="0.2">
      <c r="A389"/>
      <c r="B389"/>
      <c r="C389"/>
    </row>
    <row r="390" spans="1:3" x14ac:dyDescent="0.2">
      <c r="A390"/>
      <c r="B390"/>
      <c r="C390"/>
    </row>
    <row r="391" spans="1:3" x14ac:dyDescent="0.2">
      <c r="A391"/>
      <c r="B391"/>
      <c r="C391"/>
    </row>
    <row r="392" spans="1:3" x14ac:dyDescent="0.2">
      <c r="A392"/>
      <c r="B392"/>
      <c r="C392"/>
    </row>
    <row r="393" spans="1:3" x14ac:dyDescent="0.2">
      <c r="A393"/>
      <c r="B393"/>
      <c r="C393"/>
    </row>
    <row r="394" spans="1:3" x14ac:dyDescent="0.2">
      <c r="A394"/>
      <c r="B394"/>
      <c r="C394"/>
    </row>
    <row r="395" spans="1:3" x14ac:dyDescent="0.2">
      <c r="A395"/>
      <c r="B395"/>
      <c r="C395"/>
    </row>
    <row r="396" spans="1:3" x14ac:dyDescent="0.2">
      <c r="A396"/>
      <c r="B396"/>
      <c r="C396"/>
    </row>
    <row r="397" spans="1:3" x14ac:dyDescent="0.2">
      <c r="A397"/>
      <c r="B397"/>
      <c r="C397"/>
    </row>
    <row r="398" spans="1:3" x14ac:dyDescent="0.2">
      <c r="A398"/>
      <c r="B398"/>
      <c r="C398"/>
    </row>
    <row r="399" spans="1:3" x14ac:dyDescent="0.2">
      <c r="A399"/>
      <c r="B399"/>
      <c r="C399"/>
    </row>
    <row r="400" spans="1:3" x14ac:dyDescent="0.2">
      <c r="A400"/>
      <c r="B400"/>
      <c r="C400"/>
    </row>
    <row r="401" spans="1:3" x14ac:dyDescent="0.2">
      <c r="A401"/>
      <c r="B401"/>
      <c r="C401"/>
    </row>
    <row r="402" spans="1:3" x14ac:dyDescent="0.2">
      <c r="A402"/>
      <c r="B402"/>
      <c r="C402"/>
    </row>
    <row r="403" spans="1:3" x14ac:dyDescent="0.2">
      <c r="A403"/>
      <c r="B403"/>
      <c r="C403"/>
    </row>
    <row r="404" spans="1:3" x14ac:dyDescent="0.2">
      <c r="A404"/>
      <c r="B404"/>
      <c r="C404"/>
    </row>
    <row r="405" spans="1:3" x14ac:dyDescent="0.2">
      <c r="A405"/>
      <c r="B405"/>
      <c r="C405"/>
    </row>
    <row r="406" spans="1:3" x14ac:dyDescent="0.2">
      <c r="A406"/>
      <c r="B406"/>
      <c r="C406"/>
    </row>
    <row r="407" spans="1:3" x14ac:dyDescent="0.2">
      <c r="A407"/>
      <c r="B407"/>
      <c r="C407"/>
    </row>
    <row r="408" spans="1:3" x14ac:dyDescent="0.2">
      <c r="A408"/>
      <c r="B408"/>
      <c r="C408"/>
    </row>
    <row r="409" spans="1:3" x14ac:dyDescent="0.2">
      <c r="A409"/>
      <c r="B409"/>
      <c r="C409"/>
    </row>
    <row r="410" spans="1:3" x14ac:dyDescent="0.2">
      <c r="A410"/>
      <c r="B410"/>
      <c r="C410"/>
    </row>
    <row r="411" spans="1:3" x14ac:dyDescent="0.2">
      <c r="A411"/>
      <c r="B411"/>
      <c r="C411"/>
    </row>
    <row r="412" spans="1:3" x14ac:dyDescent="0.2">
      <c r="A412"/>
      <c r="B412"/>
      <c r="C412"/>
    </row>
    <row r="413" spans="1:3" x14ac:dyDescent="0.2">
      <c r="A413"/>
      <c r="B413"/>
      <c r="C413"/>
    </row>
    <row r="414" spans="1:3" x14ac:dyDescent="0.2">
      <c r="A414"/>
      <c r="B414"/>
      <c r="C414"/>
    </row>
    <row r="415" spans="1:3" x14ac:dyDescent="0.2">
      <c r="A415"/>
      <c r="B415"/>
      <c r="C415"/>
    </row>
    <row r="416" spans="1:3" x14ac:dyDescent="0.2">
      <c r="A416"/>
      <c r="B416"/>
      <c r="C416"/>
    </row>
    <row r="417" spans="1:3" x14ac:dyDescent="0.2">
      <c r="A417"/>
      <c r="B417"/>
      <c r="C417"/>
    </row>
    <row r="418" spans="1:3" x14ac:dyDescent="0.2">
      <c r="A418"/>
      <c r="B418"/>
      <c r="C418"/>
    </row>
    <row r="419" spans="1:3" x14ac:dyDescent="0.2">
      <c r="A419"/>
      <c r="B419"/>
      <c r="C419"/>
    </row>
    <row r="420" spans="1:3" x14ac:dyDescent="0.2">
      <c r="A420"/>
      <c r="B420"/>
      <c r="C420"/>
    </row>
    <row r="421" spans="1:3" x14ac:dyDescent="0.2">
      <c r="A421"/>
      <c r="B421"/>
      <c r="C421"/>
    </row>
    <row r="422" spans="1:3" x14ac:dyDescent="0.2">
      <c r="A422"/>
      <c r="B422"/>
      <c r="C422"/>
    </row>
    <row r="423" spans="1:3" x14ac:dyDescent="0.2">
      <c r="A423"/>
      <c r="B423"/>
      <c r="C423"/>
    </row>
    <row r="424" spans="1:3" x14ac:dyDescent="0.2">
      <c r="A424"/>
      <c r="B424"/>
      <c r="C424"/>
    </row>
    <row r="425" spans="1:3" x14ac:dyDescent="0.2">
      <c r="A425"/>
      <c r="B425"/>
      <c r="C425"/>
    </row>
    <row r="426" spans="1:3" x14ac:dyDescent="0.2">
      <c r="A426"/>
      <c r="B426"/>
      <c r="C426"/>
    </row>
    <row r="427" spans="1:3" x14ac:dyDescent="0.2">
      <c r="A427"/>
      <c r="B427"/>
      <c r="C427"/>
    </row>
    <row r="428" spans="1:3" x14ac:dyDescent="0.2">
      <c r="A428"/>
      <c r="B428"/>
      <c r="C428"/>
    </row>
    <row r="429" spans="1:3" x14ac:dyDescent="0.2">
      <c r="A429"/>
      <c r="B429"/>
      <c r="C429"/>
    </row>
    <row r="430" spans="1:3" x14ac:dyDescent="0.2">
      <c r="A430"/>
      <c r="B430"/>
      <c r="C430"/>
    </row>
    <row r="431" spans="1:3" x14ac:dyDescent="0.2">
      <c r="A431"/>
      <c r="B431"/>
      <c r="C431"/>
    </row>
    <row r="432" spans="1:3" x14ac:dyDescent="0.2">
      <c r="A432"/>
      <c r="B432"/>
      <c r="C432"/>
    </row>
    <row r="433" spans="1:3" x14ac:dyDescent="0.2">
      <c r="A433"/>
      <c r="B433"/>
      <c r="C433"/>
    </row>
    <row r="434" spans="1:3" x14ac:dyDescent="0.2">
      <c r="A434"/>
      <c r="B434"/>
      <c r="C434"/>
    </row>
    <row r="435" spans="1:3" x14ac:dyDescent="0.2">
      <c r="A435"/>
      <c r="B435"/>
      <c r="C435"/>
    </row>
    <row r="436" spans="1:3" x14ac:dyDescent="0.2">
      <c r="A436"/>
      <c r="B436"/>
      <c r="C436"/>
    </row>
    <row r="437" spans="1:3" x14ac:dyDescent="0.2">
      <c r="A437"/>
      <c r="B437"/>
      <c r="C437"/>
    </row>
    <row r="438" spans="1:3" x14ac:dyDescent="0.2">
      <c r="A438"/>
      <c r="B438"/>
      <c r="C438"/>
    </row>
    <row r="439" spans="1:3" x14ac:dyDescent="0.2">
      <c r="A439"/>
      <c r="B439"/>
      <c r="C439"/>
    </row>
    <row r="440" spans="1:3" x14ac:dyDescent="0.2">
      <c r="A440"/>
      <c r="B440"/>
      <c r="C440"/>
    </row>
    <row r="441" spans="1:3" x14ac:dyDescent="0.2">
      <c r="A441"/>
      <c r="B441"/>
      <c r="C441"/>
    </row>
    <row r="442" spans="1:3" x14ac:dyDescent="0.2">
      <c r="A442"/>
      <c r="B442"/>
      <c r="C442"/>
    </row>
    <row r="443" spans="1:3" x14ac:dyDescent="0.2">
      <c r="A443"/>
      <c r="B443"/>
      <c r="C443"/>
    </row>
    <row r="444" spans="1:3" x14ac:dyDescent="0.2">
      <c r="A444"/>
      <c r="B444"/>
      <c r="C444"/>
    </row>
    <row r="445" spans="1:3" x14ac:dyDescent="0.2">
      <c r="A445"/>
      <c r="B445"/>
      <c r="C445"/>
    </row>
    <row r="446" spans="1:3" x14ac:dyDescent="0.2">
      <c r="A446"/>
      <c r="B446"/>
      <c r="C446"/>
    </row>
    <row r="447" spans="1:3" x14ac:dyDescent="0.2">
      <c r="A447"/>
      <c r="B447"/>
      <c r="C447"/>
    </row>
    <row r="448" spans="1:3" x14ac:dyDescent="0.2">
      <c r="A448"/>
      <c r="B448"/>
      <c r="C448"/>
    </row>
    <row r="449" spans="1:3" x14ac:dyDescent="0.2">
      <c r="A449"/>
      <c r="B449"/>
      <c r="C449"/>
    </row>
    <row r="450" spans="1:3" x14ac:dyDescent="0.2">
      <c r="A450"/>
      <c r="B450"/>
      <c r="C450"/>
    </row>
    <row r="451" spans="1:3" x14ac:dyDescent="0.2">
      <c r="A451"/>
      <c r="B451"/>
      <c r="C451"/>
    </row>
    <row r="452" spans="1:3" x14ac:dyDescent="0.2">
      <c r="A452"/>
      <c r="B452"/>
      <c r="C452"/>
    </row>
    <row r="453" spans="1:3" x14ac:dyDescent="0.2">
      <c r="A453"/>
      <c r="B453"/>
      <c r="C453"/>
    </row>
    <row r="454" spans="1:3" x14ac:dyDescent="0.2">
      <c r="A454"/>
      <c r="B454"/>
      <c r="C454"/>
    </row>
    <row r="455" spans="1:3" x14ac:dyDescent="0.2">
      <c r="A455"/>
      <c r="B455"/>
      <c r="C455"/>
    </row>
    <row r="456" spans="1:3" x14ac:dyDescent="0.2">
      <c r="A456"/>
      <c r="B456"/>
      <c r="C456"/>
    </row>
    <row r="457" spans="1:3" x14ac:dyDescent="0.2">
      <c r="A457"/>
      <c r="B457"/>
      <c r="C457"/>
    </row>
    <row r="458" spans="1:3" x14ac:dyDescent="0.2">
      <c r="A458"/>
      <c r="B458"/>
      <c r="C458"/>
    </row>
    <row r="459" spans="1:3" x14ac:dyDescent="0.2">
      <c r="A459"/>
      <c r="B459"/>
      <c r="C459"/>
    </row>
    <row r="460" spans="1:3" x14ac:dyDescent="0.2">
      <c r="A460"/>
      <c r="B460"/>
      <c r="C460"/>
    </row>
    <row r="461" spans="1:3" x14ac:dyDescent="0.2">
      <c r="A461"/>
      <c r="B461"/>
      <c r="C461"/>
    </row>
    <row r="462" spans="1:3" x14ac:dyDescent="0.2">
      <c r="A462"/>
      <c r="B462"/>
      <c r="C462"/>
    </row>
    <row r="463" spans="1:3" x14ac:dyDescent="0.2">
      <c r="A463"/>
      <c r="B463"/>
      <c r="C463"/>
    </row>
    <row r="464" spans="1:3" x14ac:dyDescent="0.2">
      <c r="A464"/>
      <c r="B464"/>
      <c r="C464"/>
    </row>
    <row r="465" spans="1:3" x14ac:dyDescent="0.2">
      <c r="A465"/>
      <c r="B465"/>
      <c r="C465"/>
    </row>
    <row r="466" spans="1:3" x14ac:dyDescent="0.2">
      <c r="A466"/>
      <c r="B466"/>
      <c r="C466"/>
    </row>
    <row r="467" spans="1:3" x14ac:dyDescent="0.2">
      <c r="A467"/>
      <c r="B467"/>
      <c r="C467"/>
    </row>
    <row r="468" spans="1:3" x14ac:dyDescent="0.2">
      <c r="A468"/>
      <c r="B468"/>
      <c r="C468"/>
    </row>
    <row r="469" spans="1:3" x14ac:dyDescent="0.2">
      <c r="A469"/>
      <c r="B469"/>
      <c r="C469"/>
    </row>
    <row r="470" spans="1:3" x14ac:dyDescent="0.2">
      <c r="A470"/>
      <c r="B470"/>
      <c r="C470"/>
    </row>
    <row r="471" spans="1:3" x14ac:dyDescent="0.2">
      <c r="A471"/>
      <c r="B471"/>
      <c r="C471"/>
    </row>
    <row r="472" spans="1:3" x14ac:dyDescent="0.2">
      <c r="A472"/>
      <c r="B472"/>
      <c r="C472"/>
    </row>
    <row r="473" spans="1:3" x14ac:dyDescent="0.2">
      <c r="A473"/>
      <c r="B473"/>
      <c r="C473"/>
    </row>
    <row r="474" spans="1:3" x14ac:dyDescent="0.2">
      <c r="A474"/>
      <c r="B474"/>
      <c r="C474"/>
    </row>
    <row r="475" spans="1:3" x14ac:dyDescent="0.2">
      <c r="A475"/>
      <c r="B475"/>
      <c r="C475"/>
    </row>
    <row r="476" spans="1:3" x14ac:dyDescent="0.2">
      <c r="A476"/>
      <c r="B476"/>
      <c r="C476"/>
    </row>
    <row r="477" spans="1:3" x14ac:dyDescent="0.2">
      <c r="A477"/>
      <c r="B477"/>
      <c r="C477"/>
    </row>
    <row r="478" spans="1:3" x14ac:dyDescent="0.2">
      <c r="A478"/>
      <c r="B478"/>
      <c r="C478"/>
    </row>
    <row r="479" spans="1:3" x14ac:dyDescent="0.2">
      <c r="A479"/>
      <c r="B479"/>
      <c r="C479"/>
    </row>
    <row r="480" spans="1:3" x14ac:dyDescent="0.2">
      <c r="A480"/>
      <c r="B480"/>
      <c r="C480"/>
    </row>
    <row r="481" spans="1:3" x14ac:dyDescent="0.2">
      <c r="A481"/>
      <c r="B481"/>
      <c r="C481"/>
    </row>
    <row r="482" spans="1:3" x14ac:dyDescent="0.2">
      <c r="A482"/>
      <c r="B482"/>
      <c r="C482"/>
    </row>
    <row r="483" spans="1:3" x14ac:dyDescent="0.2">
      <c r="A483"/>
      <c r="B483"/>
      <c r="C483"/>
    </row>
    <row r="484" spans="1:3" x14ac:dyDescent="0.2">
      <c r="A484"/>
      <c r="B484"/>
      <c r="C484"/>
    </row>
    <row r="485" spans="1:3" x14ac:dyDescent="0.2">
      <c r="A485"/>
      <c r="B485"/>
      <c r="C485"/>
    </row>
    <row r="486" spans="1:3" x14ac:dyDescent="0.2">
      <c r="A486"/>
      <c r="B486"/>
      <c r="C486"/>
    </row>
    <row r="487" spans="1:3" x14ac:dyDescent="0.2">
      <c r="A487"/>
      <c r="B487"/>
      <c r="C487"/>
    </row>
    <row r="488" spans="1:3" x14ac:dyDescent="0.2">
      <c r="A488"/>
      <c r="B488"/>
      <c r="C488"/>
    </row>
    <row r="489" spans="1:3" x14ac:dyDescent="0.2">
      <c r="A489"/>
      <c r="B489"/>
      <c r="C489"/>
    </row>
    <row r="490" spans="1:3" x14ac:dyDescent="0.2">
      <c r="A490"/>
      <c r="B490"/>
      <c r="C490"/>
    </row>
    <row r="491" spans="1:3" x14ac:dyDescent="0.2">
      <c r="A491"/>
      <c r="B491"/>
      <c r="C491"/>
    </row>
    <row r="492" spans="1:3" x14ac:dyDescent="0.2">
      <c r="A492"/>
      <c r="B492"/>
      <c r="C492"/>
    </row>
    <row r="493" spans="1:3" x14ac:dyDescent="0.2">
      <c r="A493"/>
      <c r="B493"/>
      <c r="C493"/>
    </row>
    <row r="494" spans="1:3" x14ac:dyDescent="0.2">
      <c r="A494"/>
      <c r="B494"/>
      <c r="C494"/>
    </row>
    <row r="495" spans="1:3" x14ac:dyDescent="0.2">
      <c r="A495"/>
      <c r="B495"/>
      <c r="C495"/>
    </row>
    <row r="496" spans="1:3" x14ac:dyDescent="0.2">
      <c r="A496"/>
      <c r="B496"/>
      <c r="C496"/>
    </row>
    <row r="497" spans="1:3" x14ac:dyDescent="0.2">
      <c r="A497"/>
      <c r="B497"/>
      <c r="C497"/>
    </row>
    <row r="498" spans="1:3" x14ac:dyDescent="0.2">
      <c r="A498"/>
      <c r="B498"/>
      <c r="C498"/>
    </row>
    <row r="499" spans="1:3" x14ac:dyDescent="0.2">
      <c r="A499"/>
      <c r="B499"/>
      <c r="C499"/>
    </row>
    <row r="500" spans="1:3" x14ac:dyDescent="0.2">
      <c r="A500"/>
      <c r="B500"/>
      <c r="C500"/>
    </row>
    <row r="501" spans="1:3" x14ac:dyDescent="0.2">
      <c r="A501"/>
      <c r="B501"/>
      <c r="C501"/>
    </row>
    <row r="502" spans="1:3" x14ac:dyDescent="0.2">
      <c r="A502"/>
      <c r="B502"/>
      <c r="C502"/>
    </row>
    <row r="503" spans="1:3" x14ac:dyDescent="0.2">
      <c r="A503"/>
      <c r="B503"/>
      <c r="C503"/>
    </row>
    <row r="504" spans="1:3" x14ac:dyDescent="0.2">
      <c r="A504"/>
      <c r="B504"/>
      <c r="C504"/>
    </row>
    <row r="505" spans="1:3" x14ac:dyDescent="0.2">
      <c r="A505"/>
      <c r="B505"/>
      <c r="C505"/>
    </row>
    <row r="506" spans="1:3" x14ac:dyDescent="0.2">
      <c r="A506"/>
      <c r="B506"/>
      <c r="C506"/>
    </row>
    <row r="507" spans="1:3" x14ac:dyDescent="0.2">
      <c r="A507"/>
      <c r="B507"/>
      <c r="C507"/>
    </row>
    <row r="508" spans="1:3" x14ac:dyDescent="0.2">
      <c r="A508"/>
      <c r="B508"/>
      <c r="C508"/>
    </row>
    <row r="509" spans="1:3" x14ac:dyDescent="0.2">
      <c r="A509"/>
      <c r="B509"/>
      <c r="C509"/>
    </row>
    <row r="510" spans="1:3" x14ac:dyDescent="0.2">
      <c r="A510"/>
      <c r="B510"/>
      <c r="C510"/>
    </row>
    <row r="511" spans="1:3" x14ac:dyDescent="0.2">
      <c r="A511"/>
      <c r="B511"/>
      <c r="C511"/>
    </row>
    <row r="512" spans="1:3" x14ac:dyDescent="0.2">
      <c r="A512"/>
      <c r="B512"/>
      <c r="C512"/>
    </row>
    <row r="513" spans="1:3" x14ac:dyDescent="0.2">
      <c r="A513"/>
      <c r="B513"/>
      <c r="C513"/>
    </row>
    <row r="514" spans="1:3" x14ac:dyDescent="0.2">
      <c r="A514"/>
      <c r="B514"/>
      <c r="C514"/>
    </row>
    <row r="515" spans="1:3" x14ac:dyDescent="0.2">
      <c r="A515"/>
      <c r="B515"/>
      <c r="C515"/>
    </row>
    <row r="516" spans="1:3" x14ac:dyDescent="0.2">
      <c r="A516"/>
      <c r="B516"/>
      <c r="C516"/>
    </row>
    <row r="517" spans="1:3" x14ac:dyDescent="0.2">
      <c r="A517"/>
      <c r="B517"/>
      <c r="C517"/>
    </row>
    <row r="518" spans="1:3" x14ac:dyDescent="0.2">
      <c r="A518"/>
      <c r="B518"/>
      <c r="C518"/>
    </row>
    <row r="519" spans="1:3" x14ac:dyDescent="0.2">
      <c r="A519"/>
      <c r="B519"/>
      <c r="C519"/>
    </row>
    <row r="520" spans="1:3" x14ac:dyDescent="0.2">
      <c r="A520"/>
      <c r="B520"/>
      <c r="C520"/>
    </row>
    <row r="521" spans="1:3" x14ac:dyDescent="0.2">
      <c r="A521"/>
      <c r="B521"/>
      <c r="C521"/>
    </row>
    <row r="522" spans="1:3" x14ac:dyDescent="0.2">
      <c r="A522"/>
      <c r="B522"/>
      <c r="C522"/>
    </row>
    <row r="523" spans="1:3" x14ac:dyDescent="0.2">
      <c r="A523"/>
      <c r="B523"/>
      <c r="C523"/>
    </row>
    <row r="524" spans="1:3" x14ac:dyDescent="0.2">
      <c r="A524"/>
      <c r="B524"/>
      <c r="C524"/>
    </row>
    <row r="525" spans="1:3" x14ac:dyDescent="0.2">
      <c r="A525"/>
      <c r="B525"/>
      <c r="C525"/>
    </row>
    <row r="526" spans="1:3" x14ac:dyDescent="0.2">
      <c r="A526"/>
      <c r="B526"/>
      <c r="C526"/>
    </row>
    <row r="527" spans="1:3" x14ac:dyDescent="0.2">
      <c r="A527"/>
      <c r="B527"/>
      <c r="C527"/>
    </row>
    <row r="528" spans="1:3" x14ac:dyDescent="0.2">
      <c r="A528"/>
      <c r="B528"/>
      <c r="C528"/>
    </row>
    <row r="529" spans="1:3" x14ac:dyDescent="0.2">
      <c r="A529"/>
      <c r="B529"/>
      <c r="C529"/>
    </row>
    <row r="530" spans="1:3" x14ac:dyDescent="0.2">
      <c r="A530"/>
      <c r="B530"/>
      <c r="C530"/>
    </row>
    <row r="531" spans="1:3" x14ac:dyDescent="0.2">
      <c r="A531"/>
      <c r="B531"/>
      <c r="C531"/>
    </row>
    <row r="532" spans="1:3" x14ac:dyDescent="0.2">
      <c r="A532"/>
      <c r="B532"/>
      <c r="C532"/>
    </row>
    <row r="533" spans="1:3" x14ac:dyDescent="0.2">
      <c r="A533"/>
      <c r="B533"/>
      <c r="C533"/>
    </row>
    <row r="534" spans="1:3" x14ac:dyDescent="0.2">
      <c r="A534"/>
      <c r="B534"/>
      <c r="C534"/>
    </row>
    <row r="535" spans="1:3" x14ac:dyDescent="0.2">
      <c r="A535"/>
      <c r="B535"/>
      <c r="C535"/>
    </row>
    <row r="536" spans="1:3" x14ac:dyDescent="0.2">
      <c r="A536"/>
      <c r="B536"/>
      <c r="C536"/>
    </row>
    <row r="537" spans="1:3" x14ac:dyDescent="0.2">
      <c r="A537"/>
      <c r="B537"/>
      <c r="C537"/>
    </row>
    <row r="538" spans="1:3" x14ac:dyDescent="0.2">
      <c r="A538"/>
      <c r="B538"/>
      <c r="C538"/>
    </row>
    <row r="539" spans="1:3" x14ac:dyDescent="0.2">
      <c r="A539"/>
      <c r="B539"/>
      <c r="C539"/>
    </row>
    <row r="540" spans="1:3" x14ac:dyDescent="0.2">
      <c r="A540"/>
      <c r="B540"/>
      <c r="C540"/>
    </row>
    <row r="541" spans="1:3" x14ac:dyDescent="0.2">
      <c r="A541"/>
      <c r="B541"/>
      <c r="C541"/>
    </row>
    <row r="542" spans="1:3" x14ac:dyDescent="0.2">
      <c r="A542"/>
      <c r="B542"/>
      <c r="C542"/>
    </row>
    <row r="543" spans="1:3" x14ac:dyDescent="0.2">
      <c r="A543"/>
      <c r="B543"/>
      <c r="C543"/>
    </row>
    <row r="544" spans="1:3" x14ac:dyDescent="0.2">
      <c r="A544"/>
      <c r="B544"/>
      <c r="C544"/>
    </row>
    <row r="545" spans="1:3" x14ac:dyDescent="0.2">
      <c r="A545"/>
      <c r="B545"/>
      <c r="C545"/>
    </row>
    <row r="546" spans="1:3" x14ac:dyDescent="0.2">
      <c r="A546"/>
      <c r="B546"/>
      <c r="C546"/>
    </row>
    <row r="547" spans="1:3" x14ac:dyDescent="0.2">
      <c r="A547"/>
      <c r="B547"/>
      <c r="C547"/>
    </row>
    <row r="548" spans="1:3" x14ac:dyDescent="0.2">
      <c r="A548"/>
      <c r="B548"/>
      <c r="C548"/>
    </row>
    <row r="549" spans="1:3" x14ac:dyDescent="0.2">
      <c r="A549"/>
      <c r="B549"/>
      <c r="C549"/>
    </row>
    <row r="550" spans="1:3" x14ac:dyDescent="0.2">
      <c r="A550"/>
      <c r="B550"/>
      <c r="C550"/>
    </row>
    <row r="551" spans="1:3" x14ac:dyDescent="0.2">
      <c r="A551"/>
      <c r="B551"/>
      <c r="C551"/>
    </row>
    <row r="552" spans="1:3" x14ac:dyDescent="0.2">
      <c r="A552"/>
      <c r="B552"/>
      <c r="C552"/>
    </row>
    <row r="553" spans="1:3" x14ac:dyDescent="0.2">
      <c r="A553"/>
      <c r="B553"/>
      <c r="C553"/>
    </row>
    <row r="554" spans="1:3" x14ac:dyDescent="0.2">
      <c r="A554"/>
      <c r="B554"/>
      <c r="C554"/>
    </row>
    <row r="555" spans="1:3" x14ac:dyDescent="0.2">
      <c r="A555"/>
      <c r="B555"/>
      <c r="C555"/>
    </row>
    <row r="556" spans="1:3" x14ac:dyDescent="0.2">
      <c r="A556"/>
      <c r="B556"/>
      <c r="C556"/>
    </row>
    <row r="557" spans="1:3" x14ac:dyDescent="0.2">
      <c r="A557"/>
      <c r="B557"/>
      <c r="C557"/>
    </row>
    <row r="558" spans="1:3" x14ac:dyDescent="0.2">
      <c r="A558"/>
      <c r="B558"/>
      <c r="C558"/>
    </row>
    <row r="559" spans="1:3" x14ac:dyDescent="0.2">
      <c r="A559"/>
      <c r="B559"/>
      <c r="C559"/>
    </row>
    <row r="560" spans="1:3" x14ac:dyDescent="0.2">
      <c r="A560"/>
      <c r="B560"/>
      <c r="C560"/>
    </row>
    <row r="561" spans="1:3" x14ac:dyDescent="0.2">
      <c r="A561"/>
      <c r="B561"/>
      <c r="C561"/>
    </row>
    <row r="562" spans="1:3" x14ac:dyDescent="0.2">
      <c r="A562"/>
      <c r="B562"/>
      <c r="C562"/>
    </row>
    <row r="563" spans="1:3" x14ac:dyDescent="0.2">
      <c r="A563"/>
      <c r="B563"/>
      <c r="C563"/>
    </row>
    <row r="564" spans="1:3" x14ac:dyDescent="0.2">
      <c r="A564"/>
      <c r="B564"/>
      <c r="C564"/>
    </row>
    <row r="565" spans="1:3" x14ac:dyDescent="0.2">
      <c r="A565"/>
      <c r="B565"/>
      <c r="C565"/>
    </row>
    <row r="566" spans="1:3" x14ac:dyDescent="0.2">
      <c r="A566"/>
      <c r="B566"/>
      <c r="C566"/>
    </row>
    <row r="567" spans="1:3" x14ac:dyDescent="0.2">
      <c r="A567"/>
      <c r="B567"/>
      <c r="C567"/>
    </row>
    <row r="568" spans="1:3" x14ac:dyDescent="0.2">
      <c r="A568"/>
      <c r="B568"/>
      <c r="C568"/>
    </row>
    <row r="569" spans="1:3" x14ac:dyDescent="0.2">
      <c r="A569"/>
      <c r="B569"/>
      <c r="C569"/>
    </row>
    <row r="570" spans="1:3" x14ac:dyDescent="0.2">
      <c r="A570"/>
      <c r="B570"/>
      <c r="C570"/>
    </row>
    <row r="571" spans="1:3" x14ac:dyDescent="0.2">
      <c r="A571"/>
      <c r="B571"/>
      <c r="C571"/>
    </row>
    <row r="572" spans="1:3" x14ac:dyDescent="0.2">
      <c r="A572"/>
      <c r="B572"/>
      <c r="C572"/>
    </row>
    <row r="573" spans="1:3" x14ac:dyDescent="0.2">
      <c r="A573"/>
      <c r="B573"/>
      <c r="C573"/>
    </row>
    <row r="574" spans="1:3" x14ac:dyDescent="0.2">
      <c r="A574"/>
      <c r="B574"/>
      <c r="C574"/>
    </row>
    <row r="575" spans="1:3" x14ac:dyDescent="0.2">
      <c r="A575"/>
      <c r="B575"/>
      <c r="C575"/>
    </row>
    <row r="576" spans="1:3" x14ac:dyDescent="0.2">
      <c r="A576"/>
      <c r="B576"/>
      <c r="C576"/>
    </row>
    <row r="577" spans="1:3" x14ac:dyDescent="0.2">
      <c r="A577"/>
      <c r="B577"/>
      <c r="C577"/>
    </row>
    <row r="578" spans="1:3" x14ac:dyDescent="0.2">
      <c r="A578"/>
      <c r="B578"/>
      <c r="C578"/>
    </row>
    <row r="579" spans="1:3" x14ac:dyDescent="0.2">
      <c r="A579"/>
      <c r="B579"/>
      <c r="C579"/>
    </row>
    <row r="580" spans="1:3" x14ac:dyDescent="0.2">
      <c r="A580"/>
      <c r="B580"/>
      <c r="C580"/>
    </row>
    <row r="581" spans="1:3" x14ac:dyDescent="0.2">
      <c r="A581"/>
      <c r="B581"/>
      <c r="C581"/>
    </row>
    <row r="582" spans="1:3" x14ac:dyDescent="0.2">
      <c r="A582"/>
      <c r="B582"/>
      <c r="C582"/>
    </row>
    <row r="583" spans="1:3" x14ac:dyDescent="0.2">
      <c r="A583"/>
      <c r="B583"/>
      <c r="C583"/>
    </row>
    <row r="584" spans="1:3" x14ac:dyDescent="0.2">
      <c r="A584"/>
      <c r="B584"/>
      <c r="C584"/>
    </row>
    <row r="585" spans="1:3" x14ac:dyDescent="0.2">
      <c r="A585"/>
      <c r="B585"/>
      <c r="C585"/>
    </row>
    <row r="586" spans="1:3" x14ac:dyDescent="0.2">
      <c r="A586"/>
      <c r="B586"/>
      <c r="C586"/>
    </row>
    <row r="587" spans="1:3" x14ac:dyDescent="0.2">
      <c r="A587"/>
      <c r="B587"/>
      <c r="C587"/>
    </row>
    <row r="588" spans="1:3" x14ac:dyDescent="0.2">
      <c r="A588"/>
      <c r="B588"/>
      <c r="C588"/>
    </row>
    <row r="589" spans="1:3" x14ac:dyDescent="0.2">
      <c r="A589"/>
      <c r="B589"/>
      <c r="C589"/>
    </row>
    <row r="590" spans="1:3" x14ac:dyDescent="0.2">
      <c r="A590"/>
      <c r="B590"/>
      <c r="C590"/>
    </row>
    <row r="591" spans="1:3" x14ac:dyDescent="0.2">
      <c r="A591"/>
      <c r="B591"/>
      <c r="C591"/>
    </row>
    <row r="592" spans="1:3" x14ac:dyDescent="0.2">
      <c r="A592"/>
      <c r="B592"/>
      <c r="C592"/>
    </row>
    <row r="593" spans="1:3" x14ac:dyDescent="0.2">
      <c r="A593"/>
      <c r="B593"/>
      <c r="C593"/>
    </row>
    <row r="594" spans="1:3" x14ac:dyDescent="0.2">
      <c r="A594"/>
      <c r="B594"/>
      <c r="C594"/>
    </row>
    <row r="595" spans="1:3" x14ac:dyDescent="0.2">
      <c r="A595"/>
      <c r="B595"/>
      <c r="C595"/>
    </row>
    <row r="596" spans="1:3" x14ac:dyDescent="0.2">
      <c r="A596"/>
      <c r="B596"/>
      <c r="C596"/>
    </row>
    <row r="597" spans="1:3" x14ac:dyDescent="0.2">
      <c r="A597"/>
      <c r="B597"/>
      <c r="C597"/>
    </row>
    <row r="598" spans="1:3" x14ac:dyDescent="0.2">
      <c r="A598"/>
      <c r="B598"/>
      <c r="C598"/>
    </row>
    <row r="599" spans="1:3" x14ac:dyDescent="0.2">
      <c r="A599"/>
      <c r="B599"/>
      <c r="C599"/>
    </row>
    <row r="600" spans="1:3" x14ac:dyDescent="0.2">
      <c r="A600"/>
      <c r="B600"/>
      <c r="C600"/>
    </row>
    <row r="601" spans="1:3" x14ac:dyDescent="0.2">
      <c r="A601"/>
      <c r="B601"/>
      <c r="C601"/>
    </row>
    <row r="602" spans="1:3" x14ac:dyDescent="0.2">
      <c r="A602"/>
      <c r="B602"/>
      <c r="C602"/>
    </row>
    <row r="603" spans="1:3" x14ac:dyDescent="0.2">
      <c r="A603"/>
      <c r="B603"/>
      <c r="C603"/>
    </row>
    <row r="604" spans="1:3" x14ac:dyDescent="0.2">
      <c r="A604"/>
      <c r="B604"/>
      <c r="C604"/>
    </row>
    <row r="605" spans="1:3" x14ac:dyDescent="0.2">
      <c r="A605"/>
      <c r="B605"/>
      <c r="C605"/>
    </row>
    <row r="606" spans="1:3" x14ac:dyDescent="0.2">
      <c r="A606"/>
      <c r="B606"/>
      <c r="C606"/>
    </row>
    <row r="607" spans="1:3" x14ac:dyDescent="0.2">
      <c r="A607"/>
      <c r="B607"/>
      <c r="C607"/>
    </row>
    <row r="608" spans="1:3" x14ac:dyDescent="0.2">
      <c r="A608"/>
      <c r="B608"/>
      <c r="C608"/>
    </row>
    <row r="609" spans="1:3" x14ac:dyDescent="0.2">
      <c r="A609"/>
      <c r="B609"/>
      <c r="C609"/>
    </row>
    <row r="610" spans="1:3" x14ac:dyDescent="0.2">
      <c r="A610"/>
      <c r="B610"/>
      <c r="C610"/>
    </row>
    <row r="611" spans="1:3" x14ac:dyDescent="0.2">
      <c r="A611"/>
      <c r="B611"/>
      <c r="C611"/>
    </row>
    <row r="612" spans="1:3" x14ac:dyDescent="0.2">
      <c r="A612"/>
      <c r="B612"/>
      <c r="C612"/>
    </row>
    <row r="613" spans="1:3" x14ac:dyDescent="0.2">
      <c r="A613"/>
      <c r="B613"/>
      <c r="C613"/>
    </row>
    <row r="614" spans="1:3" x14ac:dyDescent="0.2">
      <c r="A614"/>
      <c r="B614"/>
      <c r="C614"/>
    </row>
    <row r="615" spans="1:3" x14ac:dyDescent="0.2">
      <c r="A615"/>
      <c r="B615"/>
      <c r="C615"/>
    </row>
    <row r="616" spans="1:3" x14ac:dyDescent="0.2">
      <c r="A616"/>
      <c r="B616"/>
      <c r="C616"/>
    </row>
    <row r="617" spans="1:3" x14ac:dyDescent="0.2">
      <c r="A617"/>
      <c r="B617"/>
      <c r="C617"/>
    </row>
    <row r="618" spans="1:3" x14ac:dyDescent="0.2">
      <c r="A618"/>
      <c r="B618"/>
      <c r="C618"/>
    </row>
    <row r="619" spans="1:3" x14ac:dyDescent="0.2">
      <c r="A619"/>
      <c r="B619"/>
      <c r="C619"/>
    </row>
    <row r="620" spans="1:3" x14ac:dyDescent="0.2">
      <c r="A620"/>
      <c r="B620"/>
      <c r="C620"/>
    </row>
    <row r="621" spans="1:3" x14ac:dyDescent="0.2">
      <c r="A621"/>
      <c r="B621"/>
      <c r="C621"/>
    </row>
    <row r="622" spans="1:3" x14ac:dyDescent="0.2">
      <c r="A622"/>
      <c r="B622"/>
      <c r="C622"/>
    </row>
    <row r="623" spans="1:3" x14ac:dyDescent="0.2">
      <c r="A623"/>
      <c r="B623"/>
      <c r="C623"/>
    </row>
    <row r="624" spans="1:3" x14ac:dyDescent="0.2">
      <c r="A624"/>
      <c r="B624"/>
      <c r="C624"/>
    </row>
    <row r="625" spans="1:3" x14ac:dyDescent="0.2">
      <c r="A625"/>
      <c r="B625"/>
      <c r="C625"/>
    </row>
    <row r="626" spans="1:3" x14ac:dyDescent="0.2">
      <c r="A626"/>
      <c r="B626"/>
      <c r="C626"/>
    </row>
    <row r="627" spans="1:3" x14ac:dyDescent="0.2">
      <c r="A627"/>
      <c r="B627"/>
      <c r="C627"/>
    </row>
    <row r="628" spans="1:3" x14ac:dyDescent="0.2">
      <c r="A628"/>
      <c r="B628"/>
      <c r="C628"/>
    </row>
    <row r="629" spans="1:3" x14ac:dyDescent="0.2">
      <c r="A629"/>
      <c r="B629"/>
      <c r="C629"/>
    </row>
    <row r="630" spans="1:3" x14ac:dyDescent="0.2">
      <c r="A630"/>
      <c r="B630"/>
      <c r="C630"/>
    </row>
    <row r="631" spans="1:3" x14ac:dyDescent="0.2">
      <c r="A631"/>
      <c r="B631"/>
      <c r="C631"/>
    </row>
    <row r="632" spans="1:3" x14ac:dyDescent="0.2">
      <c r="A632"/>
      <c r="B632"/>
      <c r="C632"/>
    </row>
    <row r="633" spans="1:3" x14ac:dyDescent="0.2">
      <c r="A633"/>
      <c r="B633"/>
      <c r="C633"/>
    </row>
    <row r="634" spans="1:3" x14ac:dyDescent="0.2">
      <c r="A634"/>
      <c r="B634"/>
      <c r="C634"/>
    </row>
    <row r="635" spans="1:3" x14ac:dyDescent="0.2">
      <c r="A635"/>
      <c r="B635"/>
      <c r="C635"/>
    </row>
    <row r="636" spans="1:3" x14ac:dyDescent="0.2">
      <c r="A636"/>
      <c r="B636"/>
      <c r="C636"/>
    </row>
    <row r="637" spans="1:3" x14ac:dyDescent="0.2">
      <c r="A637"/>
      <c r="B637"/>
      <c r="C637"/>
    </row>
    <row r="638" spans="1:3" x14ac:dyDescent="0.2">
      <c r="A638"/>
      <c r="B638"/>
      <c r="C638"/>
    </row>
    <row r="639" spans="1:3" x14ac:dyDescent="0.2">
      <c r="A639"/>
      <c r="B639"/>
      <c r="C639"/>
    </row>
    <row r="640" spans="1:3" x14ac:dyDescent="0.2">
      <c r="A640"/>
      <c r="B640"/>
      <c r="C640"/>
    </row>
    <row r="641" spans="1:3" x14ac:dyDescent="0.2">
      <c r="A641"/>
      <c r="B641"/>
      <c r="C641"/>
    </row>
    <row r="642" spans="1:3" x14ac:dyDescent="0.2">
      <c r="A642"/>
      <c r="B642"/>
      <c r="C642"/>
    </row>
    <row r="643" spans="1:3" x14ac:dyDescent="0.2">
      <c r="A643"/>
      <c r="B643"/>
      <c r="C643"/>
    </row>
    <row r="644" spans="1:3" x14ac:dyDescent="0.2">
      <c r="A644"/>
      <c r="B644"/>
      <c r="C644"/>
    </row>
    <row r="645" spans="1:3" x14ac:dyDescent="0.2">
      <c r="A645"/>
      <c r="B645"/>
      <c r="C645"/>
    </row>
    <row r="646" spans="1:3" x14ac:dyDescent="0.2">
      <c r="A646"/>
      <c r="B646"/>
      <c r="C646"/>
    </row>
    <row r="647" spans="1:3" x14ac:dyDescent="0.2">
      <c r="A647"/>
      <c r="B647"/>
      <c r="C647"/>
    </row>
    <row r="648" spans="1:3" x14ac:dyDescent="0.2">
      <c r="A648"/>
      <c r="B648"/>
      <c r="C648"/>
    </row>
    <row r="649" spans="1:3" x14ac:dyDescent="0.2">
      <c r="A649"/>
      <c r="B649"/>
      <c r="C649"/>
    </row>
    <row r="650" spans="1:3" x14ac:dyDescent="0.2">
      <c r="A650"/>
      <c r="B650"/>
      <c r="C650"/>
    </row>
    <row r="651" spans="1:3" x14ac:dyDescent="0.2">
      <c r="A651"/>
      <c r="B651"/>
      <c r="C651"/>
    </row>
    <row r="652" spans="1:3" x14ac:dyDescent="0.2">
      <c r="A652"/>
      <c r="B652"/>
      <c r="C652"/>
    </row>
    <row r="653" spans="1:3" x14ac:dyDescent="0.2">
      <c r="A653"/>
      <c r="B653"/>
      <c r="C653"/>
    </row>
    <row r="654" spans="1:3" x14ac:dyDescent="0.2">
      <c r="A654"/>
      <c r="B654"/>
      <c r="C654"/>
    </row>
    <row r="655" spans="1:3" x14ac:dyDescent="0.2">
      <c r="A655"/>
      <c r="B655"/>
      <c r="C655"/>
    </row>
    <row r="656" spans="1:3" x14ac:dyDescent="0.2">
      <c r="A656"/>
      <c r="B656"/>
      <c r="C656"/>
    </row>
    <row r="657" spans="1:3" x14ac:dyDescent="0.2">
      <c r="A657"/>
      <c r="B657"/>
      <c r="C657"/>
    </row>
    <row r="658" spans="1:3" x14ac:dyDescent="0.2">
      <c r="A658"/>
      <c r="B658"/>
      <c r="C658"/>
    </row>
    <row r="659" spans="1:3" x14ac:dyDescent="0.2">
      <c r="A659"/>
      <c r="B659"/>
      <c r="C659"/>
    </row>
    <row r="660" spans="1:3" x14ac:dyDescent="0.2">
      <c r="A660"/>
      <c r="B660"/>
      <c r="C660"/>
    </row>
    <row r="661" spans="1:3" x14ac:dyDescent="0.2">
      <c r="A661"/>
      <c r="B661"/>
      <c r="C661"/>
    </row>
    <row r="662" spans="1:3" x14ac:dyDescent="0.2">
      <c r="A662"/>
      <c r="B662"/>
      <c r="C662"/>
    </row>
    <row r="663" spans="1:3" x14ac:dyDescent="0.2">
      <c r="A663"/>
      <c r="B663"/>
      <c r="C663"/>
    </row>
    <row r="664" spans="1:3" x14ac:dyDescent="0.2">
      <c r="A664"/>
      <c r="B664"/>
      <c r="C664"/>
    </row>
    <row r="665" spans="1:3" x14ac:dyDescent="0.2">
      <c r="A665"/>
      <c r="B665"/>
      <c r="C665"/>
    </row>
    <row r="666" spans="1:3" x14ac:dyDescent="0.2">
      <c r="A666"/>
      <c r="B666"/>
      <c r="C666"/>
    </row>
    <row r="667" spans="1:3" x14ac:dyDescent="0.2">
      <c r="A667"/>
      <c r="B667"/>
      <c r="C667"/>
    </row>
    <row r="668" spans="1:3" x14ac:dyDescent="0.2">
      <c r="A668"/>
      <c r="B668"/>
      <c r="C668"/>
    </row>
    <row r="669" spans="1:3" x14ac:dyDescent="0.2">
      <c r="A669"/>
      <c r="B669"/>
      <c r="C669"/>
    </row>
    <row r="670" spans="1:3" x14ac:dyDescent="0.2">
      <c r="A670"/>
      <c r="B670"/>
      <c r="C670"/>
    </row>
    <row r="671" spans="1:3" x14ac:dyDescent="0.2">
      <c r="A671"/>
      <c r="B671"/>
      <c r="C671"/>
    </row>
    <row r="672" spans="1:3" x14ac:dyDescent="0.2">
      <c r="A672"/>
      <c r="B672"/>
      <c r="C672"/>
    </row>
    <row r="673" spans="1:3" x14ac:dyDescent="0.2">
      <c r="A673"/>
      <c r="B673"/>
      <c r="C673"/>
    </row>
    <row r="674" spans="1:3" x14ac:dyDescent="0.2">
      <c r="A674"/>
      <c r="B674"/>
      <c r="C674"/>
    </row>
    <row r="675" spans="1:3" x14ac:dyDescent="0.2">
      <c r="A675"/>
      <c r="B675"/>
      <c r="C675"/>
    </row>
    <row r="676" spans="1:3" x14ac:dyDescent="0.2">
      <c r="A676"/>
      <c r="B676"/>
      <c r="C676"/>
    </row>
    <row r="677" spans="1:3" x14ac:dyDescent="0.2">
      <c r="A677"/>
      <c r="B677"/>
      <c r="C677"/>
    </row>
    <row r="678" spans="1:3" x14ac:dyDescent="0.2">
      <c r="A678"/>
      <c r="B678"/>
      <c r="C678"/>
    </row>
    <row r="679" spans="1:3" x14ac:dyDescent="0.2">
      <c r="A679"/>
      <c r="B679"/>
      <c r="C679"/>
    </row>
    <row r="680" spans="1:3" x14ac:dyDescent="0.2">
      <c r="A680"/>
      <c r="B680"/>
      <c r="C680"/>
    </row>
    <row r="681" spans="1:3" x14ac:dyDescent="0.2">
      <c r="A681"/>
      <c r="B681"/>
      <c r="C681"/>
    </row>
    <row r="682" spans="1:3" x14ac:dyDescent="0.2">
      <c r="A682"/>
      <c r="B682"/>
      <c r="C682"/>
    </row>
    <row r="683" spans="1:3" x14ac:dyDescent="0.2">
      <c r="A683"/>
      <c r="B683"/>
      <c r="C683"/>
    </row>
    <row r="684" spans="1:3" x14ac:dyDescent="0.2">
      <c r="A684"/>
      <c r="B684"/>
      <c r="C684"/>
    </row>
    <row r="685" spans="1:3" x14ac:dyDescent="0.2">
      <c r="A685"/>
      <c r="B685"/>
      <c r="C685"/>
    </row>
    <row r="686" spans="1:3" x14ac:dyDescent="0.2">
      <c r="A686"/>
      <c r="B686"/>
      <c r="C686"/>
    </row>
    <row r="687" spans="1:3" x14ac:dyDescent="0.2">
      <c r="A687"/>
      <c r="B687"/>
      <c r="C687"/>
    </row>
    <row r="688" spans="1:3" x14ac:dyDescent="0.2">
      <c r="A688"/>
      <c r="B688"/>
      <c r="C688"/>
    </row>
    <row r="689" spans="1:3" x14ac:dyDescent="0.2">
      <c r="A689"/>
      <c r="B689"/>
      <c r="C689"/>
    </row>
    <row r="690" spans="1:3" x14ac:dyDescent="0.2">
      <c r="A690"/>
      <c r="B690"/>
      <c r="C690"/>
    </row>
    <row r="691" spans="1:3" x14ac:dyDescent="0.2">
      <c r="A691"/>
      <c r="B691"/>
      <c r="C691"/>
    </row>
    <row r="692" spans="1:3" x14ac:dyDescent="0.2">
      <c r="A692"/>
      <c r="B692"/>
      <c r="C692"/>
    </row>
    <row r="693" spans="1:3" x14ac:dyDescent="0.2">
      <c r="A693"/>
      <c r="B693"/>
      <c r="C693"/>
    </row>
    <row r="694" spans="1:3" x14ac:dyDescent="0.2">
      <c r="A694"/>
      <c r="B694"/>
      <c r="C694"/>
    </row>
    <row r="695" spans="1:3" x14ac:dyDescent="0.2">
      <c r="A695"/>
      <c r="B695"/>
      <c r="C695"/>
    </row>
    <row r="696" spans="1:3" x14ac:dyDescent="0.2">
      <c r="A696"/>
      <c r="B696"/>
      <c r="C696"/>
    </row>
    <row r="697" spans="1:3" x14ac:dyDescent="0.2">
      <c r="A697"/>
      <c r="B697"/>
      <c r="C697"/>
    </row>
    <row r="698" spans="1:3" x14ac:dyDescent="0.2">
      <c r="A698"/>
      <c r="B698"/>
      <c r="C698"/>
    </row>
    <row r="699" spans="1:3" x14ac:dyDescent="0.2">
      <c r="A699"/>
      <c r="B699"/>
      <c r="C699"/>
    </row>
    <row r="700" spans="1:3" x14ac:dyDescent="0.2">
      <c r="A700"/>
      <c r="B700"/>
      <c r="C700"/>
    </row>
    <row r="701" spans="1:3" x14ac:dyDescent="0.2">
      <c r="A701"/>
      <c r="B701"/>
      <c r="C701"/>
    </row>
    <row r="702" spans="1:3" x14ac:dyDescent="0.2">
      <c r="A702"/>
      <c r="B702"/>
      <c r="C702"/>
    </row>
    <row r="703" spans="1:3" x14ac:dyDescent="0.2">
      <c r="A703"/>
      <c r="B703"/>
      <c r="C703"/>
    </row>
    <row r="704" spans="1:3" x14ac:dyDescent="0.2">
      <c r="A704"/>
      <c r="B704"/>
      <c r="C704"/>
    </row>
    <row r="705" spans="1:3" x14ac:dyDescent="0.2">
      <c r="A705"/>
      <c r="B705"/>
      <c r="C705"/>
    </row>
    <row r="706" spans="1:3" x14ac:dyDescent="0.2">
      <c r="A706"/>
      <c r="B706"/>
      <c r="C706"/>
    </row>
    <row r="707" spans="1:3" x14ac:dyDescent="0.2">
      <c r="A707"/>
      <c r="B707"/>
      <c r="C707"/>
    </row>
    <row r="708" spans="1:3" x14ac:dyDescent="0.2">
      <c r="A708"/>
      <c r="B708"/>
      <c r="C708"/>
    </row>
    <row r="709" spans="1:3" x14ac:dyDescent="0.2">
      <c r="A709"/>
      <c r="B709"/>
      <c r="C709"/>
    </row>
    <row r="710" spans="1:3" x14ac:dyDescent="0.2">
      <c r="A710"/>
      <c r="B710"/>
      <c r="C710"/>
    </row>
    <row r="711" spans="1:3" x14ac:dyDescent="0.2">
      <c r="A711"/>
      <c r="B711"/>
      <c r="C711"/>
    </row>
    <row r="712" spans="1:3" x14ac:dyDescent="0.2">
      <c r="A712"/>
      <c r="B712"/>
      <c r="C712"/>
    </row>
    <row r="713" spans="1:3" x14ac:dyDescent="0.2">
      <c r="A713"/>
      <c r="B713"/>
      <c r="C713"/>
    </row>
    <row r="714" spans="1:3" x14ac:dyDescent="0.2">
      <c r="A714"/>
      <c r="B714"/>
      <c r="C714"/>
    </row>
    <row r="715" spans="1:3" x14ac:dyDescent="0.2">
      <c r="A715"/>
      <c r="B715"/>
      <c r="C715"/>
    </row>
    <row r="716" spans="1:3" x14ac:dyDescent="0.2">
      <c r="A716"/>
      <c r="B716"/>
      <c r="C716"/>
    </row>
    <row r="717" spans="1:3" x14ac:dyDescent="0.2">
      <c r="A717"/>
      <c r="B717"/>
      <c r="C717"/>
    </row>
    <row r="718" spans="1:3" x14ac:dyDescent="0.2">
      <c r="A718"/>
      <c r="B718"/>
      <c r="C718"/>
    </row>
    <row r="719" spans="1:3" x14ac:dyDescent="0.2">
      <c r="A719"/>
      <c r="B719"/>
      <c r="C719"/>
    </row>
    <row r="720" spans="1:3" x14ac:dyDescent="0.2">
      <c r="A720"/>
      <c r="B720"/>
      <c r="C720"/>
    </row>
    <row r="721" spans="1:3" x14ac:dyDescent="0.2">
      <c r="A721"/>
      <c r="B721"/>
      <c r="C721"/>
    </row>
    <row r="722" spans="1:3" x14ac:dyDescent="0.2">
      <c r="A722"/>
      <c r="B722"/>
      <c r="C722"/>
    </row>
    <row r="723" spans="1:3" x14ac:dyDescent="0.2">
      <c r="A723"/>
      <c r="B723"/>
      <c r="C723"/>
    </row>
    <row r="724" spans="1:3" x14ac:dyDescent="0.2">
      <c r="A724"/>
      <c r="B724"/>
      <c r="C724"/>
    </row>
    <row r="725" spans="1:3" x14ac:dyDescent="0.2">
      <c r="A725"/>
      <c r="B725"/>
      <c r="C725"/>
    </row>
    <row r="726" spans="1:3" x14ac:dyDescent="0.2">
      <c r="A726"/>
      <c r="B726"/>
      <c r="C726"/>
    </row>
    <row r="727" spans="1:3" x14ac:dyDescent="0.2">
      <c r="A727"/>
      <c r="B727"/>
      <c r="C727"/>
    </row>
    <row r="728" spans="1:3" x14ac:dyDescent="0.2">
      <c r="A728"/>
      <c r="B728"/>
      <c r="C728"/>
    </row>
    <row r="729" spans="1:3" x14ac:dyDescent="0.2">
      <c r="A729"/>
      <c r="B729"/>
      <c r="C729"/>
    </row>
    <row r="730" spans="1:3" x14ac:dyDescent="0.2">
      <c r="A730"/>
      <c r="B730"/>
      <c r="C730"/>
    </row>
    <row r="731" spans="1:3" x14ac:dyDescent="0.2">
      <c r="A731"/>
      <c r="B731"/>
      <c r="C731"/>
    </row>
    <row r="732" spans="1:3" x14ac:dyDescent="0.2">
      <c r="A732"/>
      <c r="B732"/>
      <c r="C732"/>
    </row>
    <row r="733" spans="1:3" x14ac:dyDescent="0.2">
      <c r="A733"/>
      <c r="B733"/>
      <c r="C733"/>
    </row>
    <row r="734" spans="1:3" x14ac:dyDescent="0.2">
      <c r="A734"/>
      <c r="B734"/>
      <c r="C734"/>
    </row>
    <row r="735" spans="1:3" x14ac:dyDescent="0.2">
      <c r="A735"/>
      <c r="B735"/>
      <c r="C735"/>
    </row>
    <row r="736" spans="1:3" x14ac:dyDescent="0.2">
      <c r="A736"/>
      <c r="B736"/>
      <c r="C736"/>
    </row>
    <row r="737" spans="1:3" x14ac:dyDescent="0.2">
      <c r="A737"/>
      <c r="B737"/>
      <c r="C737"/>
    </row>
    <row r="738" spans="1:3" x14ac:dyDescent="0.2">
      <c r="A738"/>
      <c r="B738"/>
      <c r="C738"/>
    </row>
    <row r="739" spans="1:3" x14ac:dyDescent="0.2">
      <c r="A739"/>
      <c r="B739"/>
      <c r="C739"/>
    </row>
    <row r="740" spans="1:3" x14ac:dyDescent="0.2">
      <c r="A740"/>
      <c r="B740"/>
      <c r="C740"/>
    </row>
    <row r="741" spans="1:3" x14ac:dyDescent="0.2">
      <c r="A741"/>
      <c r="B741"/>
      <c r="C741"/>
    </row>
    <row r="742" spans="1:3" x14ac:dyDescent="0.2">
      <c r="A742"/>
      <c r="B742"/>
      <c r="C742"/>
    </row>
    <row r="743" spans="1:3" x14ac:dyDescent="0.2">
      <c r="A743"/>
      <c r="B743"/>
      <c r="C743"/>
    </row>
    <row r="744" spans="1:3" x14ac:dyDescent="0.2">
      <c r="A744"/>
      <c r="B744"/>
      <c r="C744"/>
    </row>
    <row r="745" spans="1:3" x14ac:dyDescent="0.2">
      <c r="A745"/>
      <c r="B745"/>
      <c r="C745"/>
    </row>
    <row r="746" spans="1:3" x14ac:dyDescent="0.2">
      <c r="A746"/>
      <c r="B746"/>
      <c r="C746"/>
    </row>
    <row r="747" spans="1:3" x14ac:dyDescent="0.2">
      <c r="A747"/>
      <c r="B747"/>
      <c r="C747"/>
    </row>
    <row r="748" spans="1:3" x14ac:dyDescent="0.2">
      <c r="A748"/>
      <c r="B748"/>
      <c r="C748"/>
    </row>
    <row r="749" spans="1:3" x14ac:dyDescent="0.2">
      <c r="A749"/>
      <c r="B749"/>
      <c r="C749"/>
    </row>
    <row r="750" spans="1:3" x14ac:dyDescent="0.2">
      <c r="A750"/>
      <c r="B750"/>
      <c r="C750"/>
    </row>
    <row r="751" spans="1:3" x14ac:dyDescent="0.2">
      <c r="A751"/>
      <c r="B751"/>
      <c r="C751"/>
    </row>
    <row r="752" spans="1:3" x14ac:dyDescent="0.2">
      <c r="A752"/>
      <c r="B752"/>
      <c r="C752"/>
    </row>
    <row r="753" spans="1:3" x14ac:dyDescent="0.2">
      <c r="A753"/>
      <c r="B753"/>
      <c r="C753"/>
    </row>
    <row r="754" spans="1:3" x14ac:dyDescent="0.2">
      <c r="A754"/>
      <c r="B754"/>
      <c r="C754"/>
    </row>
    <row r="755" spans="1:3" x14ac:dyDescent="0.2">
      <c r="A755"/>
      <c r="B755"/>
      <c r="C755"/>
    </row>
    <row r="756" spans="1:3" x14ac:dyDescent="0.2">
      <c r="A756"/>
      <c r="B756"/>
      <c r="C756"/>
    </row>
    <row r="757" spans="1:3" x14ac:dyDescent="0.2">
      <c r="A757"/>
      <c r="B757"/>
      <c r="C757"/>
    </row>
    <row r="758" spans="1:3" x14ac:dyDescent="0.2">
      <c r="A758"/>
      <c r="B758"/>
      <c r="C758"/>
    </row>
    <row r="759" spans="1:3" x14ac:dyDescent="0.2">
      <c r="A759"/>
      <c r="B759"/>
      <c r="C759"/>
    </row>
    <row r="760" spans="1:3" x14ac:dyDescent="0.2">
      <c r="A760"/>
      <c r="B760"/>
      <c r="C760"/>
    </row>
    <row r="761" spans="1:3" x14ac:dyDescent="0.2">
      <c r="A761"/>
      <c r="B761"/>
      <c r="C761"/>
    </row>
    <row r="762" spans="1:3" x14ac:dyDescent="0.2">
      <c r="A762"/>
      <c r="B762"/>
      <c r="C762"/>
    </row>
    <row r="763" spans="1:3" x14ac:dyDescent="0.2">
      <c r="A763"/>
      <c r="B763"/>
      <c r="C763"/>
    </row>
    <row r="764" spans="1:3" x14ac:dyDescent="0.2">
      <c r="A764"/>
      <c r="B764"/>
      <c r="C764"/>
    </row>
    <row r="765" spans="1:3" x14ac:dyDescent="0.2">
      <c r="A765"/>
      <c r="B765"/>
      <c r="C765"/>
    </row>
    <row r="766" spans="1:3" x14ac:dyDescent="0.2">
      <c r="A766"/>
      <c r="B766"/>
      <c r="C766"/>
    </row>
    <row r="767" spans="1:3" x14ac:dyDescent="0.2">
      <c r="A767"/>
      <c r="B767"/>
      <c r="C767"/>
    </row>
    <row r="768" spans="1:3" x14ac:dyDescent="0.2">
      <c r="A768"/>
      <c r="B768"/>
      <c r="C768"/>
    </row>
    <row r="769" spans="1:3" x14ac:dyDescent="0.2">
      <c r="A769"/>
      <c r="B769"/>
      <c r="C769"/>
    </row>
    <row r="770" spans="1:3" x14ac:dyDescent="0.2">
      <c r="A770"/>
      <c r="B770"/>
      <c r="C770"/>
    </row>
    <row r="771" spans="1:3" x14ac:dyDescent="0.2">
      <c r="A771"/>
      <c r="B771"/>
      <c r="C771"/>
    </row>
    <row r="772" spans="1:3" x14ac:dyDescent="0.2">
      <c r="A772"/>
      <c r="B772"/>
      <c r="C772"/>
    </row>
    <row r="773" spans="1:3" x14ac:dyDescent="0.2">
      <c r="A773"/>
      <c r="B773"/>
      <c r="C773"/>
    </row>
    <row r="774" spans="1:3" x14ac:dyDescent="0.2">
      <c r="A774"/>
      <c r="B774"/>
      <c r="C774"/>
    </row>
    <row r="775" spans="1:3" x14ac:dyDescent="0.2">
      <c r="A775"/>
      <c r="B775"/>
      <c r="C775"/>
    </row>
    <row r="776" spans="1:3" x14ac:dyDescent="0.2">
      <c r="A776"/>
      <c r="B776"/>
      <c r="C776"/>
    </row>
    <row r="777" spans="1:3" x14ac:dyDescent="0.2">
      <c r="A777"/>
      <c r="B777"/>
      <c r="C777"/>
    </row>
    <row r="778" spans="1:3" x14ac:dyDescent="0.2">
      <c r="A778"/>
      <c r="B778"/>
      <c r="C778"/>
    </row>
    <row r="779" spans="1:3" x14ac:dyDescent="0.2">
      <c r="A779"/>
      <c r="B779"/>
      <c r="C779"/>
    </row>
    <row r="780" spans="1:3" x14ac:dyDescent="0.2">
      <c r="A780"/>
      <c r="B780"/>
      <c r="C780"/>
    </row>
    <row r="781" spans="1:3" x14ac:dyDescent="0.2">
      <c r="A781"/>
      <c r="B781"/>
      <c r="C781"/>
    </row>
    <row r="782" spans="1:3" x14ac:dyDescent="0.2">
      <c r="A782"/>
      <c r="B782"/>
      <c r="C782"/>
    </row>
    <row r="783" spans="1:3" x14ac:dyDescent="0.2">
      <c r="A783"/>
      <c r="B783"/>
      <c r="C783"/>
    </row>
    <row r="784" spans="1:3" x14ac:dyDescent="0.2">
      <c r="A784"/>
      <c r="B784"/>
      <c r="C784"/>
    </row>
    <row r="785" spans="1:3" x14ac:dyDescent="0.2">
      <c r="A785"/>
      <c r="B785"/>
      <c r="C785"/>
    </row>
    <row r="786" spans="1:3" x14ac:dyDescent="0.2">
      <c r="A786"/>
      <c r="B786"/>
      <c r="C786"/>
    </row>
    <row r="787" spans="1:3" x14ac:dyDescent="0.2">
      <c r="A787"/>
      <c r="B787"/>
      <c r="C787"/>
    </row>
    <row r="788" spans="1:3" x14ac:dyDescent="0.2">
      <c r="A788"/>
      <c r="B788"/>
      <c r="C788"/>
    </row>
    <row r="789" spans="1:3" x14ac:dyDescent="0.2">
      <c r="A789"/>
      <c r="B789"/>
      <c r="C789"/>
    </row>
    <row r="790" spans="1:3" x14ac:dyDescent="0.2">
      <c r="A790"/>
      <c r="B790"/>
      <c r="C790"/>
    </row>
    <row r="791" spans="1:3" x14ac:dyDescent="0.2">
      <c r="A791"/>
      <c r="B791"/>
      <c r="C791"/>
    </row>
    <row r="792" spans="1:3" x14ac:dyDescent="0.2">
      <c r="A792"/>
      <c r="B792"/>
      <c r="C792"/>
    </row>
    <row r="793" spans="1:3" x14ac:dyDescent="0.2">
      <c r="A793"/>
      <c r="B793"/>
      <c r="C793"/>
    </row>
    <row r="794" spans="1:3" x14ac:dyDescent="0.2">
      <c r="A794"/>
      <c r="B794"/>
      <c r="C794"/>
    </row>
    <row r="795" spans="1:3" x14ac:dyDescent="0.2">
      <c r="A795"/>
      <c r="B795"/>
      <c r="C795"/>
    </row>
    <row r="796" spans="1:3" x14ac:dyDescent="0.2">
      <c r="A796"/>
      <c r="B796"/>
      <c r="C796"/>
    </row>
    <row r="797" spans="1:3" x14ac:dyDescent="0.2">
      <c r="A797"/>
      <c r="B797"/>
      <c r="C797"/>
    </row>
    <row r="798" spans="1:3" x14ac:dyDescent="0.2">
      <c r="A798"/>
      <c r="B798"/>
      <c r="C798"/>
    </row>
    <row r="799" spans="1:3" x14ac:dyDescent="0.2">
      <c r="A799"/>
      <c r="B799"/>
      <c r="C799"/>
    </row>
    <row r="800" spans="1:3" x14ac:dyDescent="0.2">
      <c r="A800"/>
      <c r="B800"/>
      <c r="C800"/>
    </row>
    <row r="801" spans="1:3" x14ac:dyDescent="0.2">
      <c r="A801"/>
      <c r="B801"/>
      <c r="C801"/>
    </row>
    <row r="802" spans="1:3" x14ac:dyDescent="0.2">
      <c r="A802"/>
      <c r="B802"/>
      <c r="C802"/>
    </row>
    <row r="803" spans="1:3" x14ac:dyDescent="0.2">
      <c r="A803"/>
      <c r="B803"/>
      <c r="C803"/>
    </row>
    <row r="804" spans="1:3" x14ac:dyDescent="0.2">
      <c r="A804"/>
      <c r="B804"/>
      <c r="C804"/>
    </row>
    <row r="805" spans="1:3" x14ac:dyDescent="0.2">
      <c r="A805"/>
      <c r="B805"/>
      <c r="C805"/>
    </row>
    <row r="806" spans="1:3" x14ac:dyDescent="0.2">
      <c r="A806"/>
      <c r="B806"/>
      <c r="C806"/>
    </row>
    <row r="807" spans="1:3" x14ac:dyDescent="0.2">
      <c r="A807"/>
      <c r="B807"/>
      <c r="C807"/>
    </row>
    <row r="808" spans="1:3" x14ac:dyDescent="0.2">
      <c r="A808"/>
      <c r="B808"/>
      <c r="C808"/>
    </row>
    <row r="809" spans="1:3" x14ac:dyDescent="0.2">
      <c r="A809"/>
      <c r="B809"/>
      <c r="C809"/>
    </row>
    <row r="810" spans="1:3" x14ac:dyDescent="0.2">
      <c r="A810"/>
      <c r="B810"/>
      <c r="C810"/>
    </row>
    <row r="811" spans="1:3" x14ac:dyDescent="0.2">
      <c r="A811"/>
      <c r="B811"/>
      <c r="C811"/>
    </row>
    <row r="812" spans="1:3" x14ac:dyDescent="0.2">
      <c r="A812"/>
      <c r="B812"/>
      <c r="C812"/>
    </row>
    <row r="813" spans="1:3" x14ac:dyDescent="0.2">
      <c r="A813"/>
      <c r="B813"/>
      <c r="C813"/>
    </row>
    <row r="814" spans="1:3" x14ac:dyDescent="0.2">
      <c r="A814"/>
      <c r="B814"/>
      <c r="C814"/>
    </row>
    <row r="815" spans="1:3" x14ac:dyDescent="0.2">
      <c r="A815"/>
      <c r="B815"/>
      <c r="C815"/>
    </row>
    <row r="816" spans="1:3" x14ac:dyDescent="0.2">
      <c r="A816"/>
      <c r="B816"/>
      <c r="C816"/>
    </row>
    <row r="817" spans="1:3" x14ac:dyDescent="0.2">
      <c r="A817"/>
      <c r="B817"/>
      <c r="C817"/>
    </row>
    <row r="818" spans="1:3" x14ac:dyDescent="0.2">
      <c r="A818"/>
      <c r="B818"/>
      <c r="C818"/>
    </row>
    <row r="819" spans="1:3" x14ac:dyDescent="0.2">
      <c r="A819"/>
      <c r="B819"/>
      <c r="C819"/>
    </row>
    <row r="820" spans="1:3" x14ac:dyDescent="0.2">
      <c r="A820"/>
      <c r="B820"/>
      <c r="C820"/>
    </row>
    <row r="821" spans="1:3" x14ac:dyDescent="0.2">
      <c r="A821"/>
      <c r="B821"/>
      <c r="C821"/>
    </row>
    <row r="822" spans="1:3" x14ac:dyDescent="0.2">
      <c r="A822"/>
      <c r="B822"/>
      <c r="C822"/>
    </row>
    <row r="823" spans="1:3" x14ac:dyDescent="0.2">
      <c r="A823"/>
      <c r="B823"/>
      <c r="C823"/>
    </row>
    <row r="824" spans="1:3" x14ac:dyDescent="0.2">
      <c r="A824"/>
      <c r="B824"/>
      <c r="C824"/>
    </row>
    <row r="825" spans="1:3" x14ac:dyDescent="0.2">
      <c r="A825"/>
      <c r="B825"/>
      <c r="C825"/>
    </row>
    <row r="826" spans="1:3" x14ac:dyDescent="0.2">
      <c r="A826"/>
      <c r="B826"/>
      <c r="C826"/>
    </row>
    <row r="827" spans="1:3" x14ac:dyDescent="0.2">
      <c r="A827"/>
      <c r="B827"/>
      <c r="C827"/>
    </row>
    <row r="828" spans="1:3" x14ac:dyDescent="0.2">
      <c r="A828"/>
      <c r="B828"/>
      <c r="C828"/>
    </row>
    <row r="829" spans="1:3" x14ac:dyDescent="0.2">
      <c r="A829"/>
      <c r="B829"/>
      <c r="C829"/>
    </row>
    <row r="830" spans="1:3" x14ac:dyDescent="0.2">
      <c r="A830"/>
      <c r="B830"/>
      <c r="C830"/>
    </row>
    <row r="831" spans="1:3" x14ac:dyDescent="0.2">
      <c r="A831"/>
      <c r="B831"/>
      <c r="C831"/>
    </row>
    <row r="832" spans="1:3" x14ac:dyDescent="0.2">
      <c r="A832"/>
      <c r="B832"/>
      <c r="C832"/>
    </row>
    <row r="833" spans="1:3" x14ac:dyDescent="0.2">
      <c r="A833"/>
      <c r="B833"/>
      <c r="C833"/>
    </row>
    <row r="834" spans="1:3" x14ac:dyDescent="0.2">
      <c r="A834"/>
      <c r="B834"/>
      <c r="C834"/>
    </row>
    <row r="835" spans="1:3" x14ac:dyDescent="0.2">
      <c r="A835"/>
      <c r="B835"/>
      <c r="C835"/>
    </row>
    <row r="836" spans="1:3" x14ac:dyDescent="0.2">
      <c r="A836"/>
      <c r="B836"/>
      <c r="C836"/>
    </row>
    <row r="837" spans="1:3" x14ac:dyDescent="0.2">
      <c r="A837"/>
      <c r="B837"/>
      <c r="C837"/>
    </row>
    <row r="838" spans="1:3" x14ac:dyDescent="0.2">
      <c r="A838"/>
      <c r="B838"/>
      <c r="C838"/>
    </row>
    <row r="839" spans="1:3" x14ac:dyDescent="0.2">
      <c r="A839"/>
      <c r="B839"/>
      <c r="C839"/>
    </row>
    <row r="840" spans="1:3" x14ac:dyDescent="0.2">
      <c r="A840"/>
      <c r="B840"/>
      <c r="C840"/>
    </row>
    <row r="841" spans="1:3" x14ac:dyDescent="0.2">
      <c r="A841"/>
      <c r="B841"/>
      <c r="C841"/>
    </row>
    <row r="842" spans="1:3" x14ac:dyDescent="0.2">
      <c r="A842"/>
      <c r="B842"/>
      <c r="C842"/>
    </row>
    <row r="843" spans="1:3" x14ac:dyDescent="0.2">
      <c r="A843"/>
      <c r="B843"/>
      <c r="C843"/>
    </row>
    <row r="844" spans="1:3" x14ac:dyDescent="0.2">
      <c r="A844"/>
      <c r="B844"/>
      <c r="C844"/>
    </row>
    <row r="845" spans="1:3" x14ac:dyDescent="0.2">
      <c r="A845"/>
      <c r="B845"/>
      <c r="C845"/>
    </row>
    <row r="846" spans="1:3" x14ac:dyDescent="0.2">
      <c r="A846"/>
      <c r="B846"/>
      <c r="C846"/>
    </row>
    <row r="847" spans="1:3" x14ac:dyDescent="0.2">
      <c r="A847"/>
      <c r="B847"/>
      <c r="C847"/>
    </row>
    <row r="848" spans="1:3" x14ac:dyDescent="0.2">
      <c r="A848"/>
      <c r="B848"/>
      <c r="C848"/>
    </row>
    <row r="849" spans="1:3" x14ac:dyDescent="0.2">
      <c r="A849"/>
      <c r="B849"/>
      <c r="C849"/>
    </row>
    <row r="850" spans="1:3" x14ac:dyDescent="0.2">
      <c r="A850"/>
      <c r="B850"/>
      <c r="C850"/>
    </row>
    <row r="851" spans="1:3" x14ac:dyDescent="0.2">
      <c r="A851"/>
      <c r="B851"/>
      <c r="C851"/>
    </row>
    <row r="852" spans="1:3" x14ac:dyDescent="0.2">
      <c r="A852"/>
      <c r="B852"/>
      <c r="C852"/>
    </row>
    <row r="853" spans="1:3" x14ac:dyDescent="0.2">
      <c r="A853"/>
      <c r="B853"/>
      <c r="C853"/>
    </row>
    <row r="854" spans="1:3" x14ac:dyDescent="0.2">
      <c r="A854"/>
      <c r="B854"/>
      <c r="C854"/>
    </row>
    <row r="855" spans="1:3" x14ac:dyDescent="0.2">
      <c r="A855"/>
      <c r="B855"/>
      <c r="C855"/>
    </row>
    <row r="856" spans="1:3" x14ac:dyDescent="0.2">
      <c r="A856"/>
      <c r="B856"/>
      <c r="C856"/>
    </row>
    <row r="857" spans="1:3" x14ac:dyDescent="0.2">
      <c r="A857"/>
      <c r="B857"/>
      <c r="C857"/>
    </row>
    <row r="858" spans="1:3" x14ac:dyDescent="0.2">
      <c r="A858"/>
      <c r="B858"/>
      <c r="C858"/>
    </row>
    <row r="859" spans="1:3" x14ac:dyDescent="0.2">
      <c r="A859"/>
      <c r="B859"/>
      <c r="C859"/>
    </row>
    <row r="860" spans="1:3" x14ac:dyDescent="0.2">
      <c r="A860"/>
      <c r="B860"/>
      <c r="C860"/>
    </row>
    <row r="861" spans="1:3" x14ac:dyDescent="0.2">
      <c r="A861"/>
      <c r="B861"/>
      <c r="C861"/>
    </row>
    <row r="862" spans="1:3" x14ac:dyDescent="0.2">
      <c r="A862"/>
      <c r="B862"/>
      <c r="C862"/>
    </row>
    <row r="863" spans="1:3" x14ac:dyDescent="0.2">
      <c r="A863"/>
      <c r="B863"/>
      <c r="C863"/>
    </row>
    <row r="864" spans="1:3" x14ac:dyDescent="0.2">
      <c r="A864"/>
      <c r="B864"/>
      <c r="C864"/>
    </row>
    <row r="865" spans="1:3" x14ac:dyDescent="0.2">
      <c r="A865"/>
      <c r="B865"/>
      <c r="C865"/>
    </row>
    <row r="866" spans="1:3" x14ac:dyDescent="0.2">
      <c r="A866"/>
      <c r="B866"/>
      <c r="C866"/>
    </row>
    <row r="867" spans="1:3" x14ac:dyDescent="0.2">
      <c r="A867"/>
      <c r="B867"/>
      <c r="C867"/>
    </row>
    <row r="868" spans="1:3" x14ac:dyDescent="0.2">
      <c r="A868"/>
      <c r="B868"/>
      <c r="C868"/>
    </row>
    <row r="869" spans="1:3" x14ac:dyDescent="0.2">
      <c r="A869"/>
      <c r="B869"/>
      <c r="C869"/>
    </row>
    <row r="870" spans="1:3" x14ac:dyDescent="0.2">
      <c r="A870"/>
      <c r="B870"/>
      <c r="C870"/>
    </row>
    <row r="871" spans="1:3" x14ac:dyDescent="0.2">
      <c r="A871"/>
      <c r="B871"/>
      <c r="C871"/>
    </row>
    <row r="872" spans="1:3" x14ac:dyDescent="0.2">
      <c r="A872"/>
      <c r="B872"/>
      <c r="C872"/>
    </row>
    <row r="873" spans="1:3" x14ac:dyDescent="0.2">
      <c r="A873"/>
      <c r="B873"/>
      <c r="C873"/>
    </row>
    <row r="874" spans="1:3" x14ac:dyDescent="0.2">
      <c r="A874"/>
      <c r="B874"/>
      <c r="C874"/>
    </row>
    <row r="875" spans="1:3" x14ac:dyDescent="0.2">
      <c r="A875"/>
      <c r="B875"/>
      <c r="C875"/>
    </row>
    <row r="876" spans="1:3" x14ac:dyDescent="0.2">
      <c r="A876"/>
      <c r="B876"/>
      <c r="C876"/>
    </row>
    <row r="877" spans="1:3" x14ac:dyDescent="0.2">
      <c r="A877"/>
      <c r="B877"/>
      <c r="C877"/>
    </row>
    <row r="878" spans="1:3" x14ac:dyDescent="0.2">
      <c r="A878"/>
      <c r="B878"/>
      <c r="C878"/>
    </row>
    <row r="879" spans="1:3" x14ac:dyDescent="0.2">
      <c r="A879"/>
      <c r="B879"/>
      <c r="C879"/>
    </row>
    <row r="880" spans="1:3" x14ac:dyDescent="0.2">
      <c r="A880"/>
      <c r="B880"/>
      <c r="C880"/>
    </row>
    <row r="881" spans="1:3" x14ac:dyDescent="0.2">
      <c r="A881"/>
      <c r="B881"/>
      <c r="C881"/>
    </row>
    <row r="882" spans="1:3" x14ac:dyDescent="0.2">
      <c r="A882"/>
      <c r="B882"/>
      <c r="C882"/>
    </row>
    <row r="883" spans="1:3" x14ac:dyDescent="0.2">
      <c r="A883"/>
      <c r="B883"/>
      <c r="C883"/>
    </row>
    <row r="884" spans="1:3" x14ac:dyDescent="0.2">
      <c r="A884"/>
      <c r="B884"/>
      <c r="C884"/>
    </row>
    <row r="885" spans="1:3" x14ac:dyDescent="0.2">
      <c r="A885"/>
      <c r="B885"/>
      <c r="C885"/>
    </row>
    <row r="886" spans="1:3" x14ac:dyDescent="0.2">
      <c r="A886"/>
      <c r="B886"/>
      <c r="C886"/>
    </row>
    <row r="887" spans="1:3" x14ac:dyDescent="0.2">
      <c r="A887"/>
      <c r="B887"/>
      <c r="C887"/>
    </row>
    <row r="888" spans="1:3" x14ac:dyDescent="0.2">
      <c r="A888"/>
      <c r="B888"/>
      <c r="C888"/>
    </row>
    <row r="889" spans="1:3" x14ac:dyDescent="0.2">
      <c r="A889"/>
      <c r="B889"/>
      <c r="C889"/>
    </row>
    <row r="890" spans="1:3" x14ac:dyDescent="0.2">
      <c r="A890"/>
      <c r="B890"/>
      <c r="C890"/>
    </row>
    <row r="891" spans="1:3" x14ac:dyDescent="0.2">
      <c r="A891"/>
      <c r="B891"/>
      <c r="C891"/>
    </row>
    <row r="892" spans="1:3" x14ac:dyDescent="0.2">
      <c r="A892"/>
      <c r="B892"/>
      <c r="C892"/>
    </row>
    <row r="893" spans="1:3" x14ac:dyDescent="0.2">
      <c r="A893"/>
      <c r="B893"/>
      <c r="C893"/>
    </row>
    <row r="894" spans="1:3" x14ac:dyDescent="0.2">
      <c r="A894"/>
      <c r="B894"/>
      <c r="C894"/>
    </row>
    <row r="895" spans="1:3" x14ac:dyDescent="0.2">
      <c r="A895"/>
      <c r="B895"/>
      <c r="C895"/>
    </row>
    <row r="896" spans="1:3" x14ac:dyDescent="0.2">
      <c r="A896"/>
      <c r="B896"/>
      <c r="C896"/>
    </row>
    <row r="897" spans="1:3" x14ac:dyDescent="0.2">
      <c r="A897"/>
      <c r="B897"/>
      <c r="C897"/>
    </row>
    <row r="898" spans="1:3" x14ac:dyDescent="0.2">
      <c r="A898"/>
      <c r="B898"/>
      <c r="C898"/>
    </row>
    <row r="899" spans="1:3" x14ac:dyDescent="0.2">
      <c r="A899"/>
      <c r="B899"/>
      <c r="C899"/>
    </row>
    <row r="900" spans="1:3" x14ac:dyDescent="0.2">
      <c r="A900"/>
      <c r="B900"/>
      <c r="C900"/>
    </row>
    <row r="901" spans="1:3" x14ac:dyDescent="0.2">
      <c r="A901"/>
      <c r="B901"/>
      <c r="C901"/>
    </row>
    <row r="902" spans="1:3" x14ac:dyDescent="0.2">
      <c r="A902"/>
      <c r="B902"/>
      <c r="C902"/>
    </row>
    <row r="903" spans="1:3" x14ac:dyDescent="0.2">
      <c r="A903"/>
      <c r="B903"/>
      <c r="C903"/>
    </row>
    <row r="904" spans="1:3" x14ac:dyDescent="0.2">
      <c r="A904"/>
      <c r="B904"/>
      <c r="C904"/>
    </row>
    <row r="905" spans="1:3" x14ac:dyDescent="0.2">
      <c r="A905"/>
      <c r="B905"/>
      <c r="C905"/>
    </row>
    <row r="906" spans="1:3" x14ac:dyDescent="0.2">
      <c r="A906"/>
      <c r="B906"/>
      <c r="C906"/>
    </row>
    <row r="907" spans="1:3" x14ac:dyDescent="0.2">
      <c r="A907"/>
      <c r="B907"/>
      <c r="C907"/>
    </row>
    <row r="908" spans="1:3" x14ac:dyDescent="0.2">
      <c r="A908"/>
      <c r="B908"/>
      <c r="C908"/>
    </row>
    <row r="909" spans="1:3" x14ac:dyDescent="0.2">
      <c r="A909"/>
      <c r="B909"/>
      <c r="C909"/>
    </row>
    <row r="910" spans="1:3" x14ac:dyDescent="0.2">
      <c r="A910"/>
      <c r="B910"/>
      <c r="C910"/>
    </row>
    <row r="911" spans="1:3" x14ac:dyDescent="0.2">
      <c r="A911"/>
      <c r="B911"/>
      <c r="C911"/>
    </row>
    <row r="912" spans="1:3" x14ac:dyDescent="0.2">
      <c r="A912"/>
      <c r="B912"/>
      <c r="C912"/>
    </row>
    <row r="913" spans="1:3" x14ac:dyDescent="0.2">
      <c r="A913"/>
      <c r="B913"/>
      <c r="C913"/>
    </row>
    <row r="914" spans="1:3" x14ac:dyDescent="0.2">
      <c r="A914"/>
      <c r="B914"/>
      <c r="C914"/>
    </row>
    <row r="915" spans="1:3" x14ac:dyDescent="0.2">
      <c r="A915"/>
      <c r="B915"/>
      <c r="C915"/>
    </row>
    <row r="916" spans="1:3" x14ac:dyDescent="0.2">
      <c r="A916"/>
      <c r="B916"/>
      <c r="C916"/>
    </row>
    <row r="917" spans="1:3" x14ac:dyDescent="0.2">
      <c r="A917"/>
      <c r="B917"/>
      <c r="C917"/>
    </row>
    <row r="918" spans="1:3" x14ac:dyDescent="0.2">
      <c r="A918"/>
      <c r="B918"/>
      <c r="C918"/>
    </row>
    <row r="919" spans="1:3" x14ac:dyDescent="0.2">
      <c r="A919"/>
      <c r="B919"/>
      <c r="C919"/>
    </row>
    <row r="920" spans="1:3" x14ac:dyDescent="0.2">
      <c r="A920"/>
      <c r="B920"/>
      <c r="C920"/>
    </row>
    <row r="921" spans="1:3" x14ac:dyDescent="0.2">
      <c r="A921"/>
      <c r="B921"/>
      <c r="C921"/>
    </row>
    <row r="922" spans="1:3" x14ac:dyDescent="0.2">
      <c r="A922"/>
      <c r="B922"/>
      <c r="C922"/>
    </row>
    <row r="923" spans="1:3" x14ac:dyDescent="0.2">
      <c r="A923"/>
      <c r="B923"/>
      <c r="C923"/>
    </row>
    <row r="924" spans="1:3" x14ac:dyDescent="0.2">
      <c r="A924"/>
      <c r="B924"/>
      <c r="C924"/>
    </row>
    <row r="925" spans="1:3" x14ac:dyDescent="0.2">
      <c r="A925"/>
      <c r="B925"/>
      <c r="C925"/>
    </row>
    <row r="926" spans="1:3" x14ac:dyDescent="0.2">
      <c r="A926"/>
      <c r="B926"/>
      <c r="C926"/>
    </row>
    <row r="927" spans="1:3" x14ac:dyDescent="0.2">
      <c r="A927"/>
      <c r="B927"/>
      <c r="C927"/>
    </row>
    <row r="928" spans="1:3" x14ac:dyDescent="0.2">
      <c r="A928"/>
      <c r="B928"/>
      <c r="C928"/>
    </row>
    <row r="929" spans="1:3" x14ac:dyDescent="0.2">
      <c r="A929"/>
      <c r="B929"/>
      <c r="C929"/>
    </row>
    <row r="930" spans="1:3" x14ac:dyDescent="0.2">
      <c r="A930"/>
      <c r="B930"/>
      <c r="C930"/>
    </row>
    <row r="931" spans="1:3" x14ac:dyDescent="0.2">
      <c r="A931"/>
      <c r="B931"/>
      <c r="C931"/>
    </row>
    <row r="932" spans="1:3" x14ac:dyDescent="0.2">
      <c r="A932"/>
      <c r="B932"/>
      <c r="C932"/>
    </row>
    <row r="933" spans="1:3" x14ac:dyDescent="0.2">
      <c r="A933"/>
      <c r="B933"/>
      <c r="C933"/>
    </row>
    <row r="934" spans="1:3" x14ac:dyDescent="0.2">
      <c r="A934"/>
      <c r="B934"/>
      <c r="C934"/>
    </row>
    <row r="935" spans="1:3" x14ac:dyDescent="0.2">
      <c r="A935"/>
      <c r="B935"/>
      <c r="C935"/>
    </row>
    <row r="936" spans="1:3" x14ac:dyDescent="0.2">
      <c r="A936"/>
      <c r="B936"/>
      <c r="C936"/>
    </row>
    <row r="937" spans="1:3" x14ac:dyDescent="0.2">
      <c r="A937"/>
      <c r="B937"/>
      <c r="C937"/>
    </row>
    <row r="938" spans="1:3" x14ac:dyDescent="0.2">
      <c r="A938"/>
      <c r="B938"/>
      <c r="C938"/>
    </row>
    <row r="939" spans="1:3" x14ac:dyDescent="0.2">
      <c r="A939"/>
      <c r="B939"/>
      <c r="C939"/>
    </row>
    <row r="940" spans="1:3" x14ac:dyDescent="0.2">
      <c r="A940"/>
      <c r="B940"/>
      <c r="C940"/>
    </row>
    <row r="941" spans="1:3" x14ac:dyDescent="0.2">
      <c r="A941"/>
      <c r="B941"/>
      <c r="C941"/>
    </row>
    <row r="942" spans="1:3" x14ac:dyDescent="0.2">
      <c r="A942"/>
      <c r="B942"/>
      <c r="C942"/>
    </row>
    <row r="943" spans="1:3" x14ac:dyDescent="0.2">
      <c r="A943"/>
      <c r="B943"/>
      <c r="C943"/>
    </row>
    <row r="944" spans="1:3" x14ac:dyDescent="0.2">
      <c r="A944"/>
      <c r="B944"/>
      <c r="C944"/>
    </row>
    <row r="945" spans="1:3" x14ac:dyDescent="0.2">
      <c r="A945"/>
      <c r="B945"/>
      <c r="C945"/>
    </row>
    <row r="946" spans="1:3" x14ac:dyDescent="0.2">
      <c r="A946"/>
      <c r="B946"/>
      <c r="C946"/>
    </row>
    <row r="947" spans="1:3" x14ac:dyDescent="0.2">
      <c r="A947"/>
      <c r="B947"/>
      <c r="C947"/>
    </row>
    <row r="948" spans="1:3" x14ac:dyDescent="0.2">
      <c r="A948"/>
      <c r="B948"/>
      <c r="C948"/>
    </row>
    <row r="949" spans="1:3" x14ac:dyDescent="0.2">
      <c r="A949"/>
      <c r="B949"/>
      <c r="C949"/>
    </row>
    <row r="950" spans="1:3" x14ac:dyDescent="0.2">
      <c r="A950"/>
      <c r="B950"/>
      <c r="C950"/>
    </row>
    <row r="951" spans="1:3" x14ac:dyDescent="0.2">
      <c r="A951"/>
      <c r="B951"/>
      <c r="C951"/>
    </row>
    <row r="952" spans="1:3" x14ac:dyDescent="0.2">
      <c r="A952"/>
      <c r="B952"/>
      <c r="C952"/>
    </row>
    <row r="953" spans="1:3" x14ac:dyDescent="0.2">
      <c r="A953"/>
      <c r="B953"/>
      <c r="C953"/>
    </row>
    <row r="954" spans="1:3" x14ac:dyDescent="0.2">
      <c r="A954"/>
      <c r="B954"/>
      <c r="C954"/>
    </row>
    <row r="955" spans="1:3" x14ac:dyDescent="0.2">
      <c r="A955"/>
      <c r="B955"/>
      <c r="C955"/>
    </row>
    <row r="956" spans="1:3" x14ac:dyDescent="0.2">
      <c r="A956"/>
      <c r="B956"/>
      <c r="C956"/>
    </row>
    <row r="957" spans="1:3" x14ac:dyDescent="0.2">
      <c r="A957"/>
      <c r="B957"/>
      <c r="C957"/>
    </row>
    <row r="958" spans="1:3" x14ac:dyDescent="0.2">
      <c r="A958"/>
      <c r="B958"/>
      <c r="C958"/>
    </row>
    <row r="959" spans="1:3" x14ac:dyDescent="0.2">
      <c r="A959"/>
      <c r="B959"/>
      <c r="C959"/>
    </row>
    <row r="960" spans="1:3" x14ac:dyDescent="0.2">
      <c r="A960"/>
      <c r="B960"/>
      <c r="C960"/>
    </row>
    <row r="961" spans="1:3" x14ac:dyDescent="0.2">
      <c r="A961"/>
      <c r="B961"/>
      <c r="C961"/>
    </row>
    <row r="962" spans="1:3" x14ac:dyDescent="0.2">
      <c r="A962"/>
      <c r="B962"/>
      <c r="C962"/>
    </row>
    <row r="963" spans="1:3" x14ac:dyDescent="0.2">
      <c r="A963"/>
      <c r="B963"/>
      <c r="C963"/>
    </row>
    <row r="964" spans="1:3" x14ac:dyDescent="0.2">
      <c r="A964"/>
      <c r="B964"/>
      <c r="C964"/>
    </row>
    <row r="965" spans="1:3" x14ac:dyDescent="0.2">
      <c r="A965"/>
      <c r="B965"/>
      <c r="C965"/>
    </row>
    <row r="966" spans="1:3" x14ac:dyDescent="0.2">
      <c r="A966"/>
      <c r="B966"/>
      <c r="C966"/>
    </row>
    <row r="967" spans="1:3" x14ac:dyDescent="0.2">
      <c r="A967"/>
      <c r="B967"/>
      <c r="C967"/>
    </row>
    <row r="968" spans="1:3" x14ac:dyDescent="0.2">
      <c r="A968"/>
      <c r="B968"/>
      <c r="C968"/>
    </row>
    <row r="969" spans="1:3" x14ac:dyDescent="0.2">
      <c r="A969"/>
      <c r="B969"/>
      <c r="C969"/>
    </row>
    <row r="970" spans="1:3" x14ac:dyDescent="0.2">
      <c r="A970"/>
      <c r="B970"/>
      <c r="C970"/>
    </row>
    <row r="971" spans="1:3" x14ac:dyDescent="0.2">
      <c r="A971"/>
      <c r="B971"/>
      <c r="C971"/>
    </row>
    <row r="972" spans="1:3" x14ac:dyDescent="0.2">
      <c r="A972"/>
      <c r="B972"/>
      <c r="C972"/>
    </row>
    <row r="973" spans="1:3" x14ac:dyDescent="0.2">
      <c r="A973"/>
      <c r="B973"/>
      <c r="C973"/>
    </row>
    <row r="974" spans="1:3" x14ac:dyDescent="0.2">
      <c r="A974"/>
      <c r="B974"/>
      <c r="C974"/>
    </row>
    <row r="975" spans="1:3" x14ac:dyDescent="0.2">
      <c r="A975"/>
      <c r="B975"/>
      <c r="C975"/>
    </row>
    <row r="976" spans="1:3" x14ac:dyDescent="0.2">
      <c r="A976"/>
      <c r="B976"/>
      <c r="C976"/>
    </row>
    <row r="977" spans="1:3" x14ac:dyDescent="0.2">
      <c r="A977"/>
      <c r="B977"/>
      <c r="C977"/>
    </row>
    <row r="978" spans="1:3" x14ac:dyDescent="0.2">
      <c r="A978"/>
      <c r="B978"/>
      <c r="C978"/>
    </row>
    <row r="979" spans="1:3" x14ac:dyDescent="0.2">
      <c r="A979"/>
      <c r="B979"/>
      <c r="C979"/>
    </row>
    <row r="980" spans="1:3" x14ac:dyDescent="0.2">
      <c r="A980"/>
      <c r="B980"/>
      <c r="C980"/>
    </row>
    <row r="981" spans="1:3" x14ac:dyDescent="0.2">
      <c r="A981"/>
      <c r="B981"/>
      <c r="C981"/>
    </row>
    <row r="982" spans="1:3" x14ac:dyDescent="0.2">
      <c r="A982"/>
      <c r="B982"/>
      <c r="C982"/>
    </row>
    <row r="983" spans="1:3" x14ac:dyDescent="0.2">
      <c r="A983"/>
      <c r="B983"/>
      <c r="C983"/>
    </row>
    <row r="984" spans="1:3" x14ac:dyDescent="0.2">
      <c r="A984"/>
      <c r="B984"/>
      <c r="C984"/>
    </row>
    <row r="985" spans="1:3" x14ac:dyDescent="0.2">
      <c r="A985"/>
      <c r="B985"/>
      <c r="C985"/>
    </row>
    <row r="986" spans="1:3" x14ac:dyDescent="0.2">
      <c r="A986"/>
      <c r="B986"/>
      <c r="C986"/>
    </row>
    <row r="987" spans="1:3" x14ac:dyDescent="0.2">
      <c r="A987"/>
      <c r="B987"/>
      <c r="C987"/>
    </row>
    <row r="988" spans="1:3" x14ac:dyDescent="0.2">
      <c r="A988"/>
      <c r="B988"/>
      <c r="C988"/>
    </row>
    <row r="989" spans="1:3" x14ac:dyDescent="0.2">
      <c r="A989"/>
      <c r="B989"/>
      <c r="C989"/>
    </row>
    <row r="990" spans="1:3" x14ac:dyDescent="0.2">
      <c r="A990"/>
      <c r="B990"/>
      <c r="C990"/>
    </row>
    <row r="991" spans="1:3" x14ac:dyDescent="0.2">
      <c r="A991"/>
      <c r="B991"/>
      <c r="C991"/>
    </row>
    <row r="992" spans="1:3" x14ac:dyDescent="0.2">
      <c r="A992"/>
      <c r="B992"/>
      <c r="C992"/>
    </row>
    <row r="993" spans="1:3" x14ac:dyDescent="0.2">
      <c r="A993"/>
      <c r="B993"/>
      <c r="C993"/>
    </row>
    <row r="994" spans="1:3" x14ac:dyDescent="0.2">
      <c r="A994"/>
      <c r="B994"/>
      <c r="C994"/>
    </row>
    <row r="995" spans="1:3" x14ac:dyDescent="0.2">
      <c r="A995"/>
      <c r="B995"/>
      <c r="C995"/>
    </row>
    <row r="996" spans="1:3" x14ac:dyDescent="0.2">
      <c r="A996"/>
      <c r="B996"/>
      <c r="C996"/>
    </row>
    <row r="997" spans="1:3" x14ac:dyDescent="0.2">
      <c r="A997"/>
      <c r="B997"/>
      <c r="C997"/>
    </row>
    <row r="998" spans="1:3" x14ac:dyDescent="0.2">
      <c r="A998"/>
      <c r="B998"/>
      <c r="C998"/>
    </row>
    <row r="999" spans="1:3" x14ac:dyDescent="0.2">
      <c r="A999"/>
      <c r="B999"/>
      <c r="C999"/>
    </row>
    <row r="1000" spans="1:3" x14ac:dyDescent="0.2">
      <c r="A1000"/>
      <c r="B1000"/>
      <c r="C1000"/>
    </row>
    <row r="1001" spans="1:3" x14ac:dyDescent="0.2">
      <c r="A1001"/>
      <c r="B1001"/>
      <c r="C1001"/>
    </row>
    <row r="1002" spans="1:3" x14ac:dyDescent="0.2">
      <c r="A1002"/>
      <c r="B1002"/>
      <c r="C1002"/>
    </row>
    <row r="1003" spans="1:3" x14ac:dyDescent="0.2">
      <c r="A1003"/>
      <c r="B1003"/>
      <c r="C1003"/>
    </row>
    <row r="1004" spans="1:3" x14ac:dyDescent="0.2">
      <c r="A1004"/>
      <c r="B1004"/>
      <c r="C1004"/>
    </row>
    <row r="1005" spans="1:3" x14ac:dyDescent="0.2">
      <c r="A1005"/>
      <c r="B1005"/>
      <c r="C1005"/>
    </row>
    <row r="1006" spans="1:3" x14ac:dyDescent="0.2">
      <c r="A1006"/>
      <c r="B1006"/>
      <c r="C1006"/>
    </row>
    <row r="1007" spans="1:3" x14ac:dyDescent="0.2">
      <c r="A1007"/>
      <c r="B1007"/>
      <c r="C1007"/>
    </row>
    <row r="1008" spans="1:3" x14ac:dyDescent="0.2">
      <c r="A1008"/>
      <c r="B1008"/>
      <c r="C1008"/>
    </row>
    <row r="1009" spans="1:3" x14ac:dyDescent="0.2">
      <c r="A1009"/>
      <c r="B1009"/>
      <c r="C1009"/>
    </row>
    <row r="1010" spans="1:3" x14ac:dyDescent="0.2">
      <c r="A1010"/>
      <c r="B1010"/>
      <c r="C1010"/>
    </row>
    <row r="1011" spans="1:3" x14ac:dyDescent="0.2">
      <c r="A1011"/>
      <c r="B1011"/>
      <c r="C1011"/>
    </row>
    <row r="1012" spans="1:3" x14ac:dyDescent="0.2">
      <c r="A1012"/>
      <c r="B1012"/>
      <c r="C1012"/>
    </row>
    <row r="1013" spans="1:3" x14ac:dyDescent="0.2">
      <c r="A1013"/>
      <c r="B1013"/>
      <c r="C1013"/>
    </row>
    <row r="1014" spans="1:3" x14ac:dyDescent="0.2">
      <c r="A1014"/>
      <c r="B1014"/>
      <c r="C1014"/>
    </row>
    <row r="1015" spans="1:3" x14ac:dyDescent="0.2">
      <c r="A1015"/>
      <c r="B1015"/>
      <c r="C1015"/>
    </row>
    <row r="1016" spans="1:3" x14ac:dyDescent="0.2">
      <c r="A1016"/>
      <c r="B1016"/>
      <c r="C1016"/>
    </row>
    <row r="1017" spans="1:3" x14ac:dyDescent="0.2">
      <c r="A1017"/>
      <c r="B1017"/>
      <c r="C1017"/>
    </row>
    <row r="1018" spans="1:3" x14ac:dyDescent="0.2">
      <c r="A1018"/>
      <c r="B1018"/>
      <c r="C1018"/>
    </row>
    <row r="1019" spans="1:3" x14ac:dyDescent="0.2">
      <c r="A1019"/>
      <c r="B1019"/>
      <c r="C1019"/>
    </row>
    <row r="1020" spans="1:3" x14ac:dyDescent="0.2">
      <c r="A1020"/>
      <c r="B1020"/>
      <c r="C1020"/>
    </row>
    <row r="1021" spans="1:3" x14ac:dyDescent="0.2">
      <c r="A1021"/>
      <c r="B1021"/>
      <c r="C1021"/>
    </row>
    <row r="1022" spans="1:3" x14ac:dyDescent="0.2">
      <c r="A1022"/>
      <c r="B1022"/>
      <c r="C1022"/>
    </row>
    <row r="1023" spans="1:3" x14ac:dyDescent="0.2">
      <c r="A1023"/>
      <c r="B1023"/>
      <c r="C1023"/>
    </row>
    <row r="1024" spans="1:3" x14ac:dyDescent="0.2">
      <c r="A1024"/>
      <c r="B1024"/>
      <c r="C1024"/>
    </row>
    <row r="1025" spans="1:3" x14ac:dyDescent="0.2">
      <c r="A1025"/>
      <c r="B1025"/>
      <c r="C1025"/>
    </row>
    <row r="1026" spans="1:3" x14ac:dyDescent="0.2">
      <c r="A1026"/>
      <c r="B1026"/>
      <c r="C1026"/>
    </row>
    <row r="1027" spans="1:3" x14ac:dyDescent="0.2">
      <c r="A1027"/>
      <c r="B1027"/>
      <c r="C1027"/>
    </row>
    <row r="1028" spans="1:3" x14ac:dyDescent="0.2">
      <c r="A1028"/>
      <c r="B1028"/>
      <c r="C1028"/>
    </row>
    <row r="1029" spans="1:3" x14ac:dyDescent="0.2">
      <c r="A1029"/>
      <c r="B1029"/>
      <c r="C1029"/>
    </row>
    <row r="1030" spans="1:3" x14ac:dyDescent="0.2">
      <c r="A1030"/>
      <c r="B1030"/>
      <c r="C1030"/>
    </row>
    <row r="1031" spans="1:3" x14ac:dyDescent="0.2">
      <c r="A1031"/>
      <c r="B1031"/>
      <c r="C1031"/>
    </row>
    <row r="1032" spans="1:3" x14ac:dyDescent="0.2">
      <c r="A1032"/>
      <c r="B1032"/>
      <c r="C1032"/>
    </row>
    <row r="1033" spans="1:3" x14ac:dyDescent="0.2">
      <c r="A1033"/>
      <c r="B1033"/>
      <c r="C1033"/>
    </row>
    <row r="1034" spans="1:3" x14ac:dyDescent="0.2">
      <c r="A1034"/>
      <c r="B1034"/>
      <c r="C1034"/>
    </row>
    <row r="1035" spans="1:3" x14ac:dyDescent="0.2">
      <c r="A1035"/>
      <c r="B1035"/>
      <c r="C1035"/>
    </row>
    <row r="1036" spans="1:3" x14ac:dyDescent="0.2">
      <c r="A1036"/>
      <c r="B1036"/>
      <c r="C1036"/>
    </row>
    <row r="1037" spans="1:3" x14ac:dyDescent="0.2">
      <c r="A1037"/>
      <c r="B1037"/>
      <c r="C1037"/>
    </row>
    <row r="1038" spans="1:3" x14ac:dyDescent="0.2">
      <c r="A1038"/>
      <c r="B1038"/>
      <c r="C1038"/>
    </row>
    <row r="1039" spans="1:3" x14ac:dyDescent="0.2">
      <c r="A1039"/>
      <c r="B1039"/>
      <c r="C1039"/>
    </row>
    <row r="1040" spans="1:3" x14ac:dyDescent="0.2">
      <c r="A1040"/>
      <c r="B1040"/>
      <c r="C1040"/>
    </row>
    <row r="1041" spans="1:3" x14ac:dyDescent="0.2">
      <c r="A1041"/>
      <c r="B1041"/>
      <c r="C1041"/>
    </row>
    <row r="1042" spans="1:3" x14ac:dyDescent="0.2">
      <c r="A1042"/>
      <c r="B1042"/>
      <c r="C1042"/>
    </row>
    <row r="1043" spans="1:3" x14ac:dyDescent="0.2">
      <c r="A1043"/>
      <c r="B1043"/>
      <c r="C1043"/>
    </row>
    <row r="1044" spans="1:3" x14ac:dyDescent="0.2">
      <c r="A1044"/>
      <c r="B1044"/>
      <c r="C1044"/>
    </row>
    <row r="1045" spans="1:3" x14ac:dyDescent="0.2">
      <c r="A1045"/>
      <c r="B1045"/>
      <c r="C1045"/>
    </row>
    <row r="1046" spans="1:3" x14ac:dyDescent="0.2">
      <c r="A1046"/>
      <c r="B1046"/>
      <c r="C1046"/>
    </row>
    <row r="1047" spans="1:3" x14ac:dyDescent="0.2">
      <c r="A1047"/>
      <c r="B1047"/>
      <c r="C1047"/>
    </row>
    <row r="1048" spans="1:3" x14ac:dyDescent="0.2">
      <c r="A1048"/>
      <c r="B1048"/>
      <c r="C1048"/>
    </row>
    <row r="1049" spans="1:3" x14ac:dyDescent="0.2">
      <c r="A1049"/>
      <c r="B1049"/>
      <c r="C1049"/>
    </row>
    <row r="1050" spans="1:3" x14ac:dyDescent="0.2">
      <c r="A1050"/>
      <c r="B1050"/>
      <c r="C1050"/>
    </row>
    <row r="1051" spans="1:3" x14ac:dyDescent="0.2">
      <c r="A1051"/>
      <c r="B1051"/>
      <c r="C1051"/>
    </row>
    <row r="1052" spans="1:3" x14ac:dyDescent="0.2">
      <c r="A1052"/>
      <c r="B1052"/>
      <c r="C1052"/>
    </row>
    <row r="1053" spans="1:3" x14ac:dyDescent="0.2">
      <c r="A1053"/>
      <c r="B1053"/>
      <c r="C1053"/>
    </row>
    <row r="1054" spans="1:3" x14ac:dyDescent="0.2">
      <c r="A1054"/>
      <c r="B1054"/>
      <c r="C1054"/>
    </row>
    <row r="1055" spans="1:3" x14ac:dyDescent="0.2">
      <c r="A1055"/>
      <c r="B1055"/>
      <c r="C1055"/>
    </row>
    <row r="1056" spans="1:3" x14ac:dyDescent="0.2">
      <c r="A1056"/>
      <c r="B1056"/>
      <c r="C1056"/>
    </row>
    <row r="1057" spans="1:3" x14ac:dyDescent="0.2">
      <c r="A1057"/>
      <c r="B1057"/>
      <c r="C1057"/>
    </row>
    <row r="1058" spans="1:3" x14ac:dyDescent="0.2">
      <c r="A1058"/>
      <c r="B1058"/>
      <c r="C1058"/>
    </row>
    <row r="1059" spans="1:3" x14ac:dyDescent="0.2">
      <c r="A1059"/>
      <c r="B1059"/>
      <c r="C1059"/>
    </row>
    <row r="1060" spans="1:3" x14ac:dyDescent="0.2">
      <c r="A1060"/>
      <c r="B1060"/>
      <c r="C1060"/>
    </row>
    <row r="1061" spans="1:3" x14ac:dyDescent="0.2">
      <c r="A1061"/>
      <c r="B1061"/>
      <c r="C1061"/>
    </row>
    <row r="1062" spans="1:3" x14ac:dyDescent="0.2">
      <c r="A1062"/>
      <c r="B1062"/>
      <c r="C1062"/>
    </row>
    <row r="1063" spans="1:3" x14ac:dyDescent="0.2">
      <c r="A1063"/>
      <c r="B1063"/>
      <c r="C1063"/>
    </row>
    <row r="1064" spans="1:3" x14ac:dyDescent="0.2">
      <c r="A1064"/>
      <c r="B1064"/>
      <c r="C1064"/>
    </row>
    <row r="1065" spans="1:3" x14ac:dyDescent="0.2">
      <c r="A1065"/>
      <c r="B1065"/>
      <c r="C1065"/>
    </row>
    <row r="1066" spans="1:3" x14ac:dyDescent="0.2">
      <c r="A1066"/>
      <c r="B1066"/>
      <c r="C1066"/>
    </row>
    <row r="1067" spans="1:3" x14ac:dyDescent="0.2">
      <c r="A1067"/>
      <c r="B1067"/>
      <c r="C1067"/>
    </row>
    <row r="1068" spans="1:3" x14ac:dyDescent="0.2">
      <c r="A1068"/>
      <c r="B1068"/>
      <c r="C1068"/>
    </row>
    <row r="1069" spans="1:3" x14ac:dyDescent="0.2">
      <c r="A1069"/>
      <c r="B1069"/>
      <c r="C1069"/>
    </row>
    <row r="1070" spans="1:3" x14ac:dyDescent="0.2">
      <c r="A1070"/>
      <c r="B1070"/>
      <c r="C1070"/>
    </row>
    <row r="1071" spans="1:3" x14ac:dyDescent="0.2">
      <c r="A1071"/>
      <c r="B1071"/>
      <c r="C1071"/>
    </row>
    <row r="1072" spans="1:3" x14ac:dyDescent="0.2">
      <c r="A1072"/>
      <c r="B1072"/>
      <c r="C1072"/>
    </row>
    <row r="1073" spans="1:3" x14ac:dyDescent="0.2">
      <c r="A1073"/>
      <c r="B1073"/>
      <c r="C1073"/>
    </row>
    <row r="1074" spans="1:3" x14ac:dyDescent="0.2">
      <c r="A1074"/>
      <c r="B1074"/>
      <c r="C1074"/>
    </row>
    <row r="1075" spans="1:3" x14ac:dyDescent="0.2">
      <c r="A1075"/>
      <c r="B1075"/>
      <c r="C1075"/>
    </row>
    <row r="1076" spans="1:3" x14ac:dyDescent="0.2">
      <c r="A1076"/>
      <c r="B1076"/>
      <c r="C1076"/>
    </row>
    <row r="1077" spans="1:3" x14ac:dyDescent="0.2">
      <c r="A1077"/>
      <c r="B1077"/>
      <c r="C1077"/>
    </row>
    <row r="1078" spans="1:3" x14ac:dyDescent="0.2">
      <c r="A1078"/>
      <c r="B1078"/>
      <c r="C1078"/>
    </row>
    <row r="1079" spans="1:3" x14ac:dyDescent="0.2">
      <c r="A1079"/>
      <c r="B1079"/>
      <c r="C1079"/>
    </row>
    <row r="1080" spans="1:3" x14ac:dyDescent="0.2">
      <c r="A1080"/>
      <c r="B1080"/>
      <c r="C1080"/>
    </row>
    <row r="1081" spans="1:3" x14ac:dyDescent="0.2">
      <c r="A1081"/>
      <c r="B1081"/>
      <c r="C1081"/>
    </row>
    <row r="1082" spans="1:3" x14ac:dyDescent="0.2">
      <c r="A1082"/>
      <c r="B1082"/>
      <c r="C1082"/>
    </row>
    <row r="1083" spans="1:3" x14ac:dyDescent="0.2">
      <c r="A1083"/>
      <c r="B1083"/>
      <c r="C1083"/>
    </row>
    <row r="1084" spans="1:3" x14ac:dyDescent="0.2">
      <c r="A1084"/>
      <c r="B1084"/>
      <c r="C1084"/>
    </row>
    <row r="1085" spans="1:3" x14ac:dyDescent="0.2">
      <c r="A1085"/>
      <c r="B1085"/>
      <c r="C1085"/>
    </row>
    <row r="1086" spans="1:3" x14ac:dyDescent="0.2">
      <c r="A1086"/>
      <c r="B1086"/>
      <c r="C1086"/>
    </row>
    <row r="1087" spans="1:3" x14ac:dyDescent="0.2">
      <c r="A1087"/>
      <c r="B1087"/>
      <c r="C1087"/>
    </row>
    <row r="1088" spans="1:3" x14ac:dyDescent="0.2">
      <c r="A1088"/>
      <c r="B1088"/>
      <c r="C1088"/>
    </row>
    <row r="1089" spans="1:3" x14ac:dyDescent="0.2">
      <c r="A1089"/>
      <c r="B1089"/>
      <c r="C1089"/>
    </row>
    <row r="1090" spans="1:3" x14ac:dyDescent="0.2">
      <c r="A1090"/>
      <c r="B1090"/>
      <c r="C1090"/>
    </row>
    <row r="1091" spans="1:3" x14ac:dyDescent="0.2">
      <c r="A1091"/>
      <c r="B1091"/>
      <c r="C1091"/>
    </row>
    <row r="1092" spans="1:3" x14ac:dyDescent="0.2">
      <c r="A1092"/>
      <c r="B1092"/>
      <c r="C1092"/>
    </row>
    <row r="1093" spans="1:3" x14ac:dyDescent="0.2">
      <c r="A1093"/>
      <c r="B1093"/>
      <c r="C1093"/>
    </row>
    <row r="1094" spans="1:3" x14ac:dyDescent="0.2">
      <c r="A1094"/>
      <c r="B1094"/>
      <c r="C1094"/>
    </row>
    <row r="1095" spans="1:3" x14ac:dyDescent="0.2">
      <c r="A1095"/>
      <c r="B1095"/>
      <c r="C1095"/>
    </row>
    <row r="1096" spans="1:3" x14ac:dyDescent="0.2">
      <c r="A1096"/>
      <c r="B1096"/>
      <c r="C1096"/>
    </row>
    <row r="1097" spans="1:3" x14ac:dyDescent="0.2">
      <c r="A1097"/>
      <c r="B1097"/>
      <c r="C1097"/>
    </row>
    <row r="1098" spans="1:3" x14ac:dyDescent="0.2">
      <c r="A1098"/>
      <c r="B1098"/>
      <c r="C1098"/>
    </row>
    <row r="1099" spans="1:3" x14ac:dyDescent="0.2">
      <c r="A1099"/>
      <c r="B1099"/>
      <c r="C1099"/>
    </row>
    <row r="1100" spans="1:3" x14ac:dyDescent="0.2">
      <c r="A1100"/>
      <c r="B1100"/>
      <c r="C1100"/>
    </row>
    <row r="1101" spans="1:3" x14ac:dyDescent="0.2">
      <c r="A1101"/>
      <c r="B1101"/>
      <c r="C1101"/>
    </row>
    <row r="1102" spans="1:3" x14ac:dyDescent="0.2">
      <c r="A1102"/>
      <c r="B1102"/>
      <c r="C1102"/>
    </row>
    <row r="1103" spans="1:3" x14ac:dyDescent="0.2">
      <c r="A1103"/>
      <c r="B1103"/>
      <c r="C1103"/>
    </row>
    <row r="1104" spans="1:3" x14ac:dyDescent="0.2">
      <c r="A1104"/>
      <c r="B1104"/>
      <c r="C1104"/>
    </row>
    <row r="1105" spans="1:3" x14ac:dyDescent="0.2">
      <c r="A1105"/>
      <c r="B1105"/>
      <c r="C1105"/>
    </row>
    <row r="1106" spans="1:3" x14ac:dyDescent="0.2">
      <c r="A1106"/>
      <c r="B1106"/>
      <c r="C1106"/>
    </row>
    <row r="1107" spans="1:3" x14ac:dyDescent="0.2">
      <c r="A1107"/>
      <c r="B1107"/>
      <c r="C1107"/>
    </row>
    <row r="1108" spans="1:3" x14ac:dyDescent="0.2">
      <c r="A1108"/>
      <c r="B1108"/>
      <c r="C1108"/>
    </row>
    <row r="1109" spans="1:3" x14ac:dyDescent="0.2">
      <c r="A1109"/>
      <c r="B1109"/>
      <c r="C1109"/>
    </row>
    <row r="1110" spans="1:3" x14ac:dyDescent="0.2">
      <c r="A1110"/>
      <c r="B1110"/>
      <c r="C1110"/>
    </row>
    <row r="1111" spans="1:3" x14ac:dyDescent="0.2">
      <c r="A1111"/>
      <c r="B1111"/>
      <c r="C1111"/>
    </row>
    <row r="1112" spans="1:3" x14ac:dyDescent="0.2">
      <c r="A1112"/>
      <c r="B1112"/>
      <c r="C1112"/>
    </row>
    <row r="1113" spans="1:3" x14ac:dyDescent="0.2">
      <c r="A1113"/>
      <c r="B1113"/>
      <c r="C1113"/>
    </row>
    <row r="1114" spans="1:3" x14ac:dyDescent="0.2">
      <c r="A1114"/>
      <c r="B1114"/>
      <c r="C1114"/>
    </row>
    <row r="1115" spans="1:3" x14ac:dyDescent="0.2">
      <c r="A1115"/>
      <c r="B1115"/>
      <c r="C1115"/>
    </row>
    <row r="1116" spans="1:3" x14ac:dyDescent="0.2">
      <c r="A1116"/>
      <c r="B1116"/>
      <c r="C1116"/>
    </row>
    <row r="1117" spans="1:3" x14ac:dyDescent="0.2">
      <c r="A1117"/>
      <c r="B1117"/>
      <c r="C1117"/>
    </row>
    <row r="1118" spans="1:3" x14ac:dyDescent="0.2">
      <c r="A1118"/>
      <c r="B1118"/>
      <c r="C1118"/>
    </row>
    <row r="1119" spans="1:3" x14ac:dyDescent="0.2">
      <c r="A1119"/>
      <c r="B1119"/>
      <c r="C1119"/>
    </row>
    <row r="1120" spans="1:3" x14ac:dyDescent="0.2">
      <c r="A1120"/>
      <c r="B1120"/>
      <c r="C1120"/>
    </row>
    <row r="1121" spans="1:3" x14ac:dyDescent="0.2">
      <c r="A1121"/>
      <c r="B1121"/>
      <c r="C1121"/>
    </row>
    <row r="1122" spans="1:3" x14ac:dyDescent="0.2">
      <c r="A1122"/>
      <c r="B1122"/>
      <c r="C1122"/>
    </row>
    <row r="1123" spans="1:3" x14ac:dyDescent="0.2">
      <c r="A1123"/>
      <c r="B1123"/>
      <c r="C1123"/>
    </row>
    <row r="1124" spans="1:3" x14ac:dyDescent="0.2">
      <c r="A1124"/>
      <c r="B1124"/>
      <c r="C1124"/>
    </row>
    <row r="1125" spans="1:3" x14ac:dyDescent="0.2">
      <c r="A1125"/>
      <c r="B1125"/>
      <c r="C1125"/>
    </row>
    <row r="1126" spans="1:3" x14ac:dyDescent="0.2">
      <c r="A1126"/>
      <c r="B1126"/>
      <c r="C1126"/>
    </row>
    <row r="1127" spans="1:3" x14ac:dyDescent="0.2">
      <c r="A1127"/>
      <c r="B1127"/>
      <c r="C1127"/>
    </row>
    <row r="1128" spans="1:3" x14ac:dyDescent="0.2">
      <c r="A1128"/>
      <c r="B1128"/>
      <c r="C1128"/>
    </row>
    <row r="1129" spans="1:3" x14ac:dyDescent="0.2">
      <c r="A1129"/>
      <c r="B1129"/>
      <c r="C1129"/>
    </row>
    <row r="1130" spans="1:3" x14ac:dyDescent="0.2">
      <c r="A1130"/>
      <c r="B1130"/>
      <c r="C1130"/>
    </row>
    <row r="1131" spans="1:3" x14ac:dyDescent="0.2">
      <c r="A1131"/>
      <c r="B1131"/>
      <c r="C1131"/>
    </row>
    <row r="1132" spans="1:3" x14ac:dyDescent="0.2">
      <c r="A1132"/>
      <c r="B1132"/>
      <c r="C1132"/>
    </row>
    <row r="1133" spans="1:3" x14ac:dyDescent="0.2">
      <c r="A1133"/>
      <c r="B1133"/>
      <c r="C1133"/>
    </row>
    <row r="1134" spans="1:3" x14ac:dyDescent="0.2">
      <c r="A1134"/>
      <c r="B1134"/>
      <c r="C1134"/>
    </row>
    <row r="1135" spans="1:3" x14ac:dyDescent="0.2">
      <c r="A1135"/>
      <c r="B1135"/>
      <c r="C1135"/>
    </row>
    <row r="1136" spans="1:3" x14ac:dyDescent="0.2">
      <c r="A1136"/>
      <c r="B1136"/>
      <c r="C1136"/>
    </row>
    <row r="1137" spans="1:3" x14ac:dyDescent="0.2">
      <c r="A1137"/>
      <c r="B1137"/>
      <c r="C1137"/>
    </row>
    <row r="1138" spans="1:3" x14ac:dyDescent="0.2">
      <c r="A1138"/>
      <c r="B1138"/>
      <c r="C1138"/>
    </row>
    <row r="1139" spans="1:3" x14ac:dyDescent="0.2">
      <c r="A1139"/>
      <c r="B1139"/>
      <c r="C1139"/>
    </row>
    <row r="1140" spans="1:3" x14ac:dyDescent="0.2">
      <c r="A1140"/>
      <c r="B1140"/>
      <c r="C1140"/>
    </row>
    <row r="1141" spans="1:3" x14ac:dyDescent="0.2">
      <c r="A1141"/>
      <c r="B1141"/>
      <c r="C1141"/>
    </row>
    <row r="1142" spans="1:3" x14ac:dyDescent="0.2">
      <c r="A1142"/>
      <c r="B1142"/>
      <c r="C1142"/>
    </row>
    <row r="1143" spans="1:3" x14ac:dyDescent="0.2">
      <c r="A1143"/>
      <c r="B1143"/>
      <c r="C1143"/>
    </row>
    <row r="1144" spans="1:3" x14ac:dyDescent="0.2">
      <c r="A1144"/>
      <c r="B1144"/>
      <c r="C1144"/>
    </row>
    <row r="1145" spans="1:3" x14ac:dyDescent="0.2">
      <c r="A1145"/>
      <c r="B1145"/>
      <c r="C1145"/>
    </row>
    <row r="1146" spans="1:3" x14ac:dyDescent="0.2">
      <c r="A1146"/>
      <c r="B1146"/>
      <c r="C1146"/>
    </row>
    <row r="1147" spans="1:3" x14ac:dyDescent="0.2">
      <c r="A1147"/>
      <c r="B1147"/>
      <c r="C1147"/>
    </row>
    <row r="1148" spans="1:3" x14ac:dyDescent="0.2">
      <c r="A1148"/>
      <c r="B1148"/>
      <c r="C1148"/>
    </row>
    <row r="1149" spans="1:3" x14ac:dyDescent="0.2">
      <c r="A1149"/>
      <c r="B1149"/>
      <c r="C1149"/>
    </row>
    <row r="1150" spans="1:3" x14ac:dyDescent="0.2">
      <c r="A1150"/>
      <c r="B1150"/>
      <c r="C1150"/>
    </row>
    <row r="1151" spans="1:3" x14ac:dyDescent="0.2">
      <c r="A1151"/>
      <c r="B1151"/>
      <c r="C1151"/>
    </row>
    <row r="1152" spans="1:3" x14ac:dyDescent="0.2">
      <c r="A1152"/>
      <c r="B1152"/>
      <c r="C1152"/>
    </row>
    <row r="1153" spans="1:3" x14ac:dyDescent="0.2">
      <c r="A1153"/>
      <c r="B1153"/>
      <c r="C1153"/>
    </row>
    <row r="1154" spans="1:3" x14ac:dyDescent="0.2">
      <c r="A1154"/>
      <c r="B1154"/>
      <c r="C1154"/>
    </row>
    <row r="1155" spans="1:3" x14ac:dyDescent="0.2">
      <c r="A1155"/>
      <c r="B1155"/>
      <c r="C1155"/>
    </row>
    <row r="1156" spans="1:3" x14ac:dyDescent="0.2">
      <c r="A1156"/>
      <c r="B1156"/>
      <c r="C1156"/>
    </row>
    <row r="1157" spans="1:3" x14ac:dyDescent="0.2">
      <c r="A1157"/>
      <c r="B1157"/>
      <c r="C1157"/>
    </row>
    <row r="1158" spans="1:3" x14ac:dyDescent="0.2">
      <c r="A1158"/>
      <c r="B1158"/>
      <c r="C1158"/>
    </row>
    <row r="1159" spans="1:3" x14ac:dyDescent="0.2">
      <c r="A1159"/>
      <c r="B1159"/>
      <c r="C1159"/>
    </row>
    <row r="1160" spans="1:3" x14ac:dyDescent="0.2">
      <c r="A1160"/>
      <c r="B1160"/>
      <c r="C1160"/>
    </row>
    <row r="1161" spans="1:3" x14ac:dyDescent="0.2">
      <c r="A1161"/>
      <c r="B1161"/>
      <c r="C1161"/>
    </row>
    <row r="1162" spans="1:3" x14ac:dyDescent="0.2">
      <c r="A1162"/>
      <c r="B1162"/>
      <c r="C1162"/>
    </row>
    <row r="1163" spans="1:3" x14ac:dyDescent="0.2">
      <c r="A1163"/>
      <c r="B1163"/>
      <c r="C1163"/>
    </row>
    <row r="1164" spans="1:3" x14ac:dyDescent="0.2">
      <c r="A1164"/>
      <c r="B1164"/>
      <c r="C1164"/>
    </row>
    <row r="1165" spans="1:3" x14ac:dyDescent="0.2">
      <c r="A1165"/>
      <c r="B1165"/>
      <c r="C1165"/>
    </row>
    <row r="1166" spans="1:3" x14ac:dyDescent="0.2">
      <c r="A1166"/>
      <c r="B1166"/>
      <c r="C1166"/>
    </row>
    <row r="1167" spans="1:3" x14ac:dyDescent="0.2">
      <c r="A1167"/>
      <c r="B1167"/>
      <c r="C1167"/>
    </row>
    <row r="1168" spans="1:3" x14ac:dyDescent="0.2">
      <c r="A1168"/>
      <c r="B1168"/>
      <c r="C1168"/>
    </row>
    <row r="1169" spans="1:3" x14ac:dyDescent="0.2">
      <c r="A1169"/>
      <c r="B1169"/>
      <c r="C1169"/>
    </row>
    <row r="1170" spans="1:3" x14ac:dyDescent="0.2">
      <c r="A1170"/>
      <c r="B1170"/>
      <c r="C1170"/>
    </row>
    <row r="1171" spans="1:3" x14ac:dyDescent="0.2">
      <c r="A1171"/>
      <c r="B1171"/>
      <c r="C1171"/>
    </row>
    <row r="1172" spans="1:3" x14ac:dyDescent="0.2">
      <c r="A1172"/>
      <c r="B1172"/>
      <c r="C1172"/>
    </row>
    <row r="1173" spans="1:3" x14ac:dyDescent="0.2">
      <c r="A1173"/>
      <c r="B1173"/>
      <c r="C1173"/>
    </row>
    <row r="1174" spans="1:3" x14ac:dyDescent="0.2">
      <c r="A1174"/>
      <c r="B1174"/>
      <c r="C1174"/>
    </row>
    <row r="1175" spans="1:3" x14ac:dyDescent="0.2">
      <c r="A1175"/>
      <c r="B1175"/>
      <c r="C1175"/>
    </row>
    <row r="1176" spans="1:3" x14ac:dyDescent="0.2">
      <c r="A1176"/>
      <c r="B1176"/>
      <c r="C1176"/>
    </row>
    <row r="1177" spans="1:3" x14ac:dyDescent="0.2">
      <c r="A1177"/>
      <c r="B1177"/>
      <c r="C1177"/>
    </row>
    <row r="1178" spans="1:3" x14ac:dyDescent="0.2">
      <c r="A1178"/>
      <c r="B1178"/>
      <c r="C1178"/>
    </row>
    <row r="1179" spans="1:3" x14ac:dyDescent="0.2">
      <c r="A1179"/>
      <c r="B1179"/>
      <c r="C1179"/>
    </row>
    <row r="1180" spans="1:3" x14ac:dyDescent="0.2">
      <c r="A1180"/>
      <c r="B1180"/>
      <c r="C1180"/>
    </row>
    <row r="1181" spans="1:3" x14ac:dyDescent="0.2">
      <c r="A1181"/>
      <c r="B1181"/>
      <c r="C1181"/>
    </row>
    <row r="1182" spans="1:3" x14ac:dyDescent="0.2">
      <c r="A1182"/>
      <c r="B1182"/>
      <c r="C1182"/>
    </row>
    <row r="1183" spans="1:3" x14ac:dyDescent="0.2">
      <c r="A1183"/>
      <c r="B1183"/>
      <c r="C1183"/>
    </row>
    <row r="1184" spans="1:3" x14ac:dyDescent="0.2">
      <c r="A1184"/>
      <c r="B1184"/>
      <c r="C1184"/>
    </row>
    <row r="1185" spans="1:3" x14ac:dyDescent="0.2">
      <c r="A1185"/>
      <c r="B1185"/>
      <c r="C1185"/>
    </row>
    <row r="1186" spans="1:3" x14ac:dyDescent="0.2">
      <c r="A1186"/>
      <c r="B1186"/>
      <c r="C1186"/>
    </row>
    <row r="1187" spans="1:3" x14ac:dyDescent="0.2">
      <c r="A1187"/>
      <c r="B1187"/>
      <c r="C1187"/>
    </row>
    <row r="1188" spans="1:3" x14ac:dyDescent="0.2">
      <c r="A1188"/>
      <c r="B1188"/>
      <c r="C1188"/>
    </row>
    <row r="1189" spans="1:3" x14ac:dyDescent="0.2">
      <c r="A1189"/>
      <c r="B1189"/>
      <c r="C1189"/>
    </row>
    <row r="1190" spans="1:3" x14ac:dyDescent="0.2">
      <c r="A1190"/>
      <c r="B1190"/>
      <c r="C1190"/>
    </row>
    <row r="1191" spans="1:3" x14ac:dyDescent="0.2">
      <c r="A1191"/>
      <c r="B1191"/>
      <c r="C1191"/>
    </row>
    <row r="1192" spans="1:3" x14ac:dyDescent="0.2">
      <c r="A1192"/>
      <c r="B1192"/>
      <c r="C1192"/>
    </row>
    <row r="1193" spans="1:3" x14ac:dyDescent="0.2">
      <c r="A1193"/>
      <c r="B1193"/>
      <c r="C1193"/>
    </row>
    <row r="1194" spans="1:3" x14ac:dyDescent="0.2">
      <c r="A1194"/>
      <c r="B1194"/>
      <c r="C1194"/>
    </row>
    <row r="1195" spans="1:3" x14ac:dyDescent="0.2">
      <c r="A1195"/>
      <c r="B1195"/>
      <c r="C1195"/>
    </row>
    <row r="1196" spans="1:3" x14ac:dyDescent="0.2">
      <c r="A1196"/>
      <c r="B1196"/>
      <c r="C1196"/>
    </row>
    <row r="1197" spans="1:3" x14ac:dyDescent="0.2">
      <c r="A1197"/>
      <c r="B1197"/>
      <c r="C1197"/>
    </row>
    <row r="1198" spans="1:3" x14ac:dyDescent="0.2">
      <c r="A1198"/>
      <c r="B1198"/>
      <c r="C1198"/>
    </row>
    <row r="1199" spans="1:3" x14ac:dyDescent="0.2">
      <c r="A1199"/>
      <c r="B1199"/>
      <c r="C1199"/>
    </row>
    <row r="1200" spans="1:3" x14ac:dyDescent="0.2">
      <c r="A1200"/>
      <c r="B1200"/>
      <c r="C1200"/>
    </row>
    <row r="1201" spans="1:3" x14ac:dyDescent="0.2">
      <c r="A1201"/>
      <c r="B1201"/>
      <c r="C1201"/>
    </row>
    <row r="1202" spans="1:3" x14ac:dyDescent="0.2">
      <c r="A1202"/>
      <c r="B1202"/>
      <c r="C1202"/>
    </row>
    <row r="1203" spans="1:3" x14ac:dyDescent="0.2">
      <c r="A1203"/>
      <c r="B1203"/>
      <c r="C1203"/>
    </row>
    <row r="1204" spans="1:3" x14ac:dyDescent="0.2">
      <c r="A1204"/>
      <c r="B1204"/>
      <c r="C1204"/>
    </row>
    <row r="1205" spans="1:3" x14ac:dyDescent="0.2">
      <c r="A1205"/>
      <c r="B1205"/>
      <c r="C1205"/>
    </row>
    <row r="1206" spans="1:3" x14ac:dyDescent="0.2">
      <c r="A1206"/>
      <c r="B1206"/>
      <c r="C1206"/>
    </row>
    <row r="1207" spans="1:3" x14ac:dyDescent="0.2">
      <c r="A1207"/>
      <c r="B1207"/>
      <c r="C1207"/>
    </row>
    <row r="1208" spans="1:3" x14ac:dyDescent="0.2">
      <c r="A1208"/>
      <c r="B1208"/>
      <c r="C1208"/>
    </row>
    <row r="1209" spans="1:3" x14ac:dyDescent="0.2">
      <c r="A1209"/>
      <c r="B1209"/>
      <c r="C1209"/>
    </row>
    <row r="1210" spans="1:3" x14ac:dyDescent="0.2">
      <c r="A1210"/>
      <c r="B1210"/>
      <c r="C1210"/>
    </row>
    <row r="1211" spans="1:3" x14ac:dyDescent="0.2">
      <c r="A1211"/>
      <c r="B1211"/>
      <c r="C1211"/>
    </row>
    <row r="1212" spans="1:3" x14ac:dyDescent="0.2">
      <c r="A1212"/>
      <c r="B1212"/>
      <c r="C1212"/>
    </row>
    <row r="1213" spans="1:3" x14ac:dyDescent="0.2">
      <c r="A1213"/>
      <c r="B1213"/>
      <c r="C1213"/>
    </row>
    <row r="1214" spans="1:3" x14ac:dyDescent="0.2">
      <c r="A1214"/>
      <c r="B1214"/>
      <c r="C1214"/>
    </row>
    <row r="1215" spans="1:3" x14ac:dyDescent="0.2">
      <c r="A1215"/>
      <c r="B1215"/>
      <c r="C1215"/>
    </row>
    <row r="1216" spans="1:3" x14ac:dyDescent="0.2">
      <c r="A1216"/>
      <c r="B1216"/>
      <c r="C1216"/>
    </row>
    <row r="1217" spans="1:3" x14ac:dyDescent="0.2">
      <c r="A1217"/>
      <c r="B1217"/>
      <c r="C1217"/>
    </row>
    <row r="1218" spans="1:3" x14ac:dyDescent="0.2">
      <c r="A1218"/>
      <c r="B1218"/>
      <c r="C1218"/>
    </row>
    <row r="1219" spans="1:3" x14ac:dyDescent="0.2">
      <c r="A1219"/>
      <c r="B1219"/>
      <c r="C1219"/>
    </row>
    <row r="1220" spans="1:3" x14ac:dyDescent="0.2">
      <c r="A1220"/>
      <c r="B1220"/>
      <c r="C1220"/>
    </row>
    <row r="1221" spans="1:3" x14ac:dyDescent="0.2">
      <c r="A1221"/>
      <c r="B1221"/>
      <c r="C1221"/>
    </row>
    <row r="1222" spans="1:3" x14ac:dyDescent="0.2">
      <c r="A1222"/>
      <c r="B1222"/>
      <c r="C1222"/>
    </row>
    <row r="1223" spans="1:3" x14ac:dyDescent="0.2">
      <c r="A1223"/>
      <c r="B1223"/>
      <c r="C1223"/>
    </row>
    <row r="1224" spans="1:3" x14ac:dyDescent="0.2">
      <c r="A1224"/>
      <c r="B1224"/>
      <c r="C1224"/>
    </row>
    <row r="1225" spans="1:3" x14ac:dyDescent="0.2">
      <c r="A1225"/>
      <c r="B1225"/>
      <c r="C1225"/>
    </row>
    <row r="1226" spans="1:3" x14ac:dyDescent="0.2">
      <c r="A1226"/>
      <c r="B1226"/>
      <c r="C1226"/>
    </row>
    <row r="1227" spans="1:3" x14ac:dyDescent="0.2">
      <c r="A1227"/>
      <c r="B1227"/>
      <c r="C1227"/>
    </row>
    <row r="1228" spans="1:3" x14ac:dyDescent="0.2">
      <c r="A1228"/>
      <c r="B1228"/>
      <c r="C1228"/>
    </row>
    <row r="1229" spans="1:3" x14ac:dyDescent="0.2">
      <c r="A1229"/>
      <c r="B1229"/>
      <c r="C1229"/>
    </row>
    <row r="1230" spans="1:3" x14ac:dyDescent="0.2">
      <c r="A1230"/>
      <c r="B1230"/>
      <c r="C1230"/>
    </row>
    <row r="1231" spans="1:3" x14ac:dyDescent="0.2">
      <c r="A1231"/>
      <c r="B1231"/>
      <c r="C1231"/>
    </row>
    <row r="1232" spans="1:3" x14ac:dyDescent="0.2">
      <c r="A1232"/>
      <c r="B1232"/>
      <c r="C1232"/>
    </row>
    <row r="1233" spans="1:3" x14ac:dyDescent="0.2">
      <c r="A1233"/>
      <c r="B1233"/>
      <c r="C1233"/>
    </row>
    <row r="1234" spans="1:3" x14ac:dyDescent="0.2">
      <c r="A1234"/>
      <c r="B1234"/>
      <c r="C1234"/>
    </row>
    <row r="1235" spans="1:3" x14ac:dyDescent="0.2">
      <c r="A1235"/>
      <c r="B1235"/>
      <c r="C1235"/>
    </row>
    <row r="1236" spans="1:3" x14ac:dyDescent="0.2">
      <c r="A1236"/>
      <c r="B1236"/>
      <c r="C1236"/>
    </row>
    <row r="1237" spans="1:3" x14ac:dyDescent="0.2">
      <c r="A1237"/>
      <c r="B1237"/>
      <c r="C1237"/>
    </row>
    <row r="1238" spans="1:3" x14ac:dyDescent="0.2">
      <c r="A1238"/>
      <c r="B1238"/>
      <c r="C1238"/>
    </row>
    <row r="1239" spans="1:3" x14ac:dyDescent="0.2">
      <c r="A1239"/>
      <c r="B1239"/>
      <c r="C1239"/>
    </row>
    <row r="1240" spans="1:3" x14ac:dyDescent="0.2">
      <c r="A1240"/>
      <c r="B1240"/>
      <c r="C1240"/>
    </row>
    <row r="1241" spans="1:3" x14ac:dyDescent="0.2">
      <c r="A1241"/>
      <c r="B1241"/>
      <c r="C1241"/>
    </row>
    <row r="1242" spans="1:3" x14ac:dyDescent="0.2">
      <c r="A1242"/>
      <c r="B1242"/>
      <c r="C1242"/>
    </row>
    <row r="1243" spans="1:3" x14ac:dyDescent="0.2">
      <c r="A1243"/>
      <c r="B1243"/>
      <c r="C1243"/>
    </row>
    <row r="1244" spans="1:3" x14ac:dyDescent="0.2">
      <c r="A1244"/>
      <c r="B1244"/>
      <c r="C1244"/>
    </row>
    <row r="1245" spans="1:3" x14ac:dyDescent="0.2">
      <c r="A1245"/>
      <c r="B1245"/>
      <c r="C1245"/>
    </row>
    <row r="1246" spans="1:3" x14ac:dyDescent="0.2">
      <c r="A1246"/>
      <c r="B1246"/>
      <c r="C1246"/>
    </row>
    <row r="1247" spans="1:3" x14ac:dyDescent="0.2">
      <c r="A1247"/>
      <c r="B1247"/>
      <c r="C1247"/>
    </row>
    <row r="1248" spans="1:3" x14ac:dyDescent="0.2">
      <c r="A1248"/>
      <c r="B1248"/>
      <c r="C1248"/>
    </row>
    <row r="1249" spans="1:3" x14ac:dyDescent="0.2">
      <c r="A1249"/>
      <c r="B1249"/>
      <c r="C1249"/>
    </row>
    <row r="1250" spans="1:3" x14ac:dyDescent="0.2">
      <c r="A1250"/>
      <c r="B1250"/>
      <c r="C1250"/>
    </row>
    <row r="1251" spans="1:3" x14ac:dyDescent="0.2">
      <c r="A1251"/>
      <c r="B1251"/>
      <c r="C1251"/>
    </row>
    <row r="1252" spans="1:3" x14ac:dyDescent="0.2">
      <c r="A1252"/>
      <c r="B1252"/>
      <c r="C1252"/>
    </row>
    <row r="1253" spans="1:3" x14ac:dyDescent="0.2">
      <c r="A1253"/>
      <c r="B1253"/>
      <c r="C1253"/>
    </row>
    <row r="1254" spans="1:3" x14ac:dyDescent="0.2">
      <c r="A1254"/>
      <c r="B1254"/>
      <c r="C1254"/>
    </row>
    <row r="1255" spans="1:3" x14ac:dyDescent="0.2">
      <c r="A1255"/>
      <c r="B1255"/>
      <c r="C1255"/>
    </row>
    <row r="1256" spans="1:3" x14ac:dyDescent="0.2">
      <c r="A1256"/>
      <c r="B1256"/>
      <c r="C1256"/>
    </row>
    <row r="1257" spans="1:3" x14ac:dyDescent="0.2">
      <c r="A1257"/>
      <c r="B1257"/>
      <c r="C1257"/>
    </row>
    <row r="1258" spans="1:3" x14ac:dyDescent="0.2">
      <c r="A1258"/>
      <c r="B1258"/>
      <c r="C1258"/>
    </row>
    <row r="1259" spans="1:3" x14ac:dyDescent="0.2">
      <c r="A1259"/>
      <c r="B1259"/>
      <c r="C1259"/>
    </row>
    <row r="1260" spans="1:3" x14ac:dyDescent="0.2">
      <c r="A1260"/>
      <c r="B1260"/>
      <c r="C1260"/>
    </row>
    <row r="1261" spans="1:3" x14ac:dyDescent="0.2">
      <c r="A1261"/>
      <c r="B1261"/>
      <c r="C1261"/>
    </row>
    <row r="1262" spans="1:3" x14ac:dyDescent="0.2">
      <c r="A1262"/>
      <c r="B1262"/>
      <c r="C1262"/>
    </row>
    <row r="1263" spans="1:3" x14ac:dyDescent="0.2">
      <c r="A1263"/>
      <c r="B1263"/>
      <c r="C1263"/>
    </row>
    <row r="1264" spans="1:3" x14ac:dyDescent="0.2">
      <c r="A1264"/>
      <c r="B1264"/>
      <c r="C1264"/>
    </row>
    <row r="1265" spans="1:3" x14ac:dyDescent="0.2">
      <c r="A1265"/>
      <c r="B1265"/>
      <c r="C1265"/>
    </row>
    <row r="1266" spans="1:3" x14ac:dyDescent="0.2">
      <c r="A1266"/>
      <c r="B1266"/>
      <c r="C1266"/>
    </row>
    <row r="1267" spans="1:3" x14ac:dyDescent="0.2">
      <c r="A1267"/>
      <c r="B1267"/>
      <c r="C1267"/>
    </row>
    <row r="1268" spans="1:3" x14ac:dyDescent="0.2">
      <c r="A1268"/>
      <c r="B1268"/>
      <c r="C1268"/>
    </row>
    <row r="1269" spans="1:3" x14ac:dyDescent="0.2">
      <c r="A1269"/>
      <c r="B1269"/>
      <c r="C1269"/>
    </row>
    <row r="1270" spans="1:3" x14ac:dyDescent="0.2">
      <c r="A1270"/>
      <c r="B1270"/>
      <c r="C1270"/>
    </row>
    <row r="1271" spans="1:3" x14ac:dyDescent="0.2">
      <c r="A1271"/>
      <c r="B1271"/>
      <c r="C1271"/>
    </row>
    <row r="1272" spans="1:3" x14ac:dyDescent="0.2">
      <c r="A1272"/>
      <c r="B1272"/>
      <c r="C1272"/>
    </row>
    <row r="1273" spans="1:3" x14ac:dyDescent="0.2">
      <c r="A1273"/>
      <c r="B1273"/>
      <c r="C1273"/>
    </row>
    <row r="1274" spans="1:3" x14ac:dyDescent="0.2">
      <c r="A1274"/>
      <c r="B1274"/>
      <c r="C1274"/>
    </row>
    <row r="1275" spans="1:3" x14ac:dyDescent="0.2">
      <c r="A1275"/>
      <c r="B1275"/>
      <c r="C1275"/>
    </row>
    <row r="1276" spans="1:3" x14ac:dyDescent="0.2">
      <c r="A1276"/>
      <c r="B1276"/>
      <c r="C1276"/>
    </row>
    <row r="1277" spans="1:3" x14ac:dyDescent="0.2">
      <c r="A1277"/>
      <c r="B1277"/>
      <c r="C1277"/>
    </row>
    <row r="1278" spans="1:3" x14ac:dyDescent="0.2">
      <c r="A1278"/>
      <c r="B1278"/>
      <c r="C1278"/>
    </row>
    <row r="1279" spans="1:3" x14ac:dyDescent="0.2">
      <c r="A1279"/>
      <c r="B1279"/>
      <c r="C1279"/>
    </row>
    <row r="1280" spans="1:3" x14ac:dyDescent="0.2">
      <c r="A1280"/>
      <c r="B1280"/>
      <c r="C1280"/>
    </row>
    <row r="1281" spans="1:3" x14ac:dyDescent="0.2">
      <c r="A1281"/>
      <c r="B1281"/>
      <c r="C1281"/>
    </row>
    <row r="1282" spans="1:3" x14ac:dyDescent="0.2">
      <c r="A1282"/>
      <c r="B1282"/>
      <c r="C1282"/>
    </row>
    <row r="1283" spans="1:3" x14ac:dyDescent="0.2">
      <c r="A1283"/>
      <c r="B1283"/>
      <c r="C1283"/>
    </row>
    <row r="1284" spans="1:3" x14ac:dyDescent="0.2">
      <c r="A1284"/>
      <c r="B1284"/>
      <c r="C1284"/>
    </row>
    <row r="1285" spans="1:3" x14ac:dyDescent="0.2">
      <c r="A1285"/>
      <c r="B1285"/>
      <c r="C1285"/>
    </row>
    <row r="1286" spans="1:3" x14ac:dyDescent="0.2">
      <c r="A1286"/>
      <c r="B1286"/>
      <c r="C1286"/>
    </row>
    <row r="1287" spans="1:3" x14ac:dyDescent="0.2">
      <c r="A1287"/>
      <c r="B1287"/>
      <c r="C1287"/>
    </row>
    <row r="1288" spans="1:3" x14ac:dyDescent="0.2">
      <c r="A1288"/>
      <c r="B1288"/>
      <c r="C1288"/>
    </row>
    <row r="1289" spans="1:3" x14ac:dyDescent="0.2">
      <c r="A1289"/>
      <c r="B1289"/>
      <c r="C1289"/>
    </row>
    <row r="1290" spans="1:3" x14ac:dyDescent="0.2">
      <c r="A1290"/>
      <c r="B1290"/>
      <c r="C1290"/>
    </row>
    <row r="1291" spans="1:3" x14ac:dyDescent="0.2">
      <c r="A1291"/>
      <c r="B1291"/>
      <c r="C1291"/>
    </row>
    <row r="1292" spans="1:3" x14ac:dyDescent="0.2">
      <c r="A1292"/>
      <c r="B1292"/>
      <c r="C1292"/>
    </row>
    <row r="1293" spans="1:3" x14ac:dyDescent="0.2">
      <c r="A1293"/>
      <c r="B1293"/>
      <c r="C1293"/>
    </row>
    <row r="1294" spans="1:3" x14ac:dyDescent="0.2">
      <c r="A1294"/>
      <c r="B1294"/>
      <c r="C1294"/>
    </row>
    <row r="1295" spans="1:3" x14ac:dyDescent="0.2">
      <c r="A1295"/>
      <c r="B1295"/>
      <c r="C1295"/>
    </row>
    <row r="1296" spans="1:3" x14ac:dyDescent="0.2">
      <c r="A1296"/>
      <c r="B1296"/>
      <c r="C1296"/>
    </row>
    <row r="1297" spans="1:3" x14ac:dyDescent="0.2">
      <c r="A1297"/>
      <c r="B1297"/>
      <c r="C1297"/>
    </row>
    <row r="1298" spans="1:3" x14ac:dyDescent="0.2">
      <c r="A1298"/>
      <c r="B1298"/>
      <c r="C1298"/>
    </row>
    <row r="1299" spans="1:3" x14ac:dyDescent="0.2">
      <c r="A1299"/>
      <c r="B1299"/>
      <c r="C1299"/>
    </row>
    <row r="1300" spans="1:3" x14ac:dyDescent="0.2">
      <c r="A1300"/>
      <c r="B1300"/>
      <c r="C1300"/>
    </row>
    <row r="1301" spans="1:3" x14ac:dyDescent="0.2">
      <c r="A1301"/>
      <c r="B1301"/>
      <c r="C1301"/>
    </row>
    <row r="1302" spans="1:3" x14ac:dyDescent="0.2">
      <c r="A1302"/>
      <c r="B1302"/>
      <c r="C1302"/>
    </row>
    <row r="1303" spans="1:3" x14ac:dyDescent="0.2">
      <c r="A1303"/>
      <c r="B1303"/>
      <c r="C1303"/>
    </row>
    <row r="1304" spans="1:3" x14ac:dyDescent="0.2">
      <c r="A1304"/>
      <c r="B1304"/>
      <c r="C1304"/>
    </row>
    <row r="1305" spans="1:3" x14ac:dyDescent="0.2">
      <c r="A1305"/>
      <c r="B1305"/>
      <c r="C1305"/>
    </row>
    <row r="1306" spans="1:3" x14ac:dyDescent="0.2">
      <c r="A1306"/>
      <c r="B1306"/>
      <c r="C1306"/>
    </row>
    <row r="1307" spans="1:3" x14ac:dyDescent="0.2">
      <c r="A1307"/>
      <c r="B1307"/>
      <c r="C1307"/>
    </row>
    <row r="1308" spans="1:3" x14ac:dyDescent="0.2">
      <c r="A1308"/>
      <c r="B1308"/>
      <c r="C1308"/>
    </row>
    <row r="1309" spans="1:3" x14ac:dyDescent="0.2">
      <c r="A1309"/>
      <c r="B1309"/>
      <c r="C1309"/>
    </row>
    <row r="1310" spans="1:3" x14ac:dyDescent="0.2">
      <c r="A1310"/>
      <c r="B1310"/>
      <c r="C1310"/>
    </row>
    <row r="1311" spans="1:3" x14ac:dyDescent="0.2">
      <c r="A1311"/>
      <c r="B1311"/>
      <c r="C1311"/>
    </row>
    <row r="1312" spans="1:3" x14ac:dyDescent="0.2">
      <c r="A1312"/>
      <c r="B1312"/>
      <c r="C1312"/>
    </row>
    <row r="1313" spans="1:3" x14ac:dyDescent="0.2">
      <c r="A1313"/>
      <c r="B1313"/>
      <c r="C1313"/>
    </row>
    <row r="1314" spans="1:3" x14ac:dyDescent="0.2">
      <c r="A1314"/>
      <c r="B1314"/>
      <c r="C1314"/>
    </row>
    <row r="1315" spans="1:3" x14ac:dyDescent="0.2">
      <c r="A1315"/>
      <c r="B1315"/>
      <c r="C1315"/>
    </row>
    <row r="1316" spans="1:3" x14ac:dyDescent="0.2">
      <c r="A1316"/>
      <c r="B1316"/>
      <c r="C1316"/>
    </row>
    <row r="1317" spans="1:3" x14ac:dyDescent="0.2">
      <c r="A1317"/>
      <c r="B1317"/>
      <c r="C1317"/>
    </row>
    <row r="1318" spans="1:3" x14ac:dyDescent="0.2">
      <c r="A1318"/>
      <c r="B1318"/>
      <c r="C1318"/>
    </row>
    <row r="1319" spans="1:3" x14ac:dyDescent="0.2">
      <c r="A1319"/>
      <c r="B1319"/>
      <c r="C1319"/>
    </row>
    <row r="1320" spans="1:3" x14ac:dyDescent="0.2">
      <c r="A1320"/>
      <c r="B1320"/>
      <c r="C1320"/>
    </row>
    <row r="1321" spans="1:3" x14ac:dyDescent="0.2">
      <c r="A1321"/>
      <c r="B1321"/>
      <c r="C1321"/>
    </row>
    <row r="1322" spans="1:3" x14ac:dyDescent="0.2">
      <c r="A1322"/>
      <c r="B1322"/>
      <c r="C1322"/>
    </row>
    <row r="1323" spans="1:3" x14ac:dyDescent="0.2">
      <c r="A1323"/>
      <c r="B1323"/>
      <c r="C1323"/>
    </row>
    <row r="1324" spans="1:3" x14ac:dyDescent="0.2">
      <c r="A1324"/>
      <c r="B1324"/>
      <c r="C1324"/>
    </row>
    <row r="1325" spans="1:3" x14ac:dyDescent="0.2">
      <c r="A1325"/>
      <c r="B1325"/>
      <c r="C1325"/>
    </row>
    <row r="1326" spans="1:3" x14ac:dyDescent="0.2">
      <c r="A1326"/>
      <c r="B1326"/>
      <c r="C1326"/>
    </row>
    <row r="1327" spans="1:3" x14ac:dyDescent="0.2">
      <c r="A1327"/>
      <c r="B1327"/>
      <c r="C1327"/>
    </row>
    <row r="1328" spans="1:3" x14ac:dyDescent="0.2">
      <c r="A1328"/>
      <c r="B1328"/>
      <c r="C1328"/>
    </row>
    <row r="1329" spans="1:3" x14ac:dyDescent="0.2">
      <c r="A1329"/>
      <c r="B1329"/>
      <c r="C1329"/>
    </row>
    <row r="1330" spans="1:3" x14ac:dyDescent="0.2">
      <c r="A1330"/>
      <c r="B1330"/>
      <c r="C1330"/>
    </row>
    <row r="1331" spans="1:3" x14ac:dyDescent="0.2">
      <c r="A1331"/>
      <c r="B1331"/>
      <c r="C1331"/>
    </row>
    <row r="1332" spans="1:3" x14ac:dyDescent="0.2">
      <c r="A1332"/>
      <c r="B1332"/>
      <c r="C1332"/>
    </row>
    <row r="1333" spans="1:3" x14ac:dyDescent="0.2">
      <c r="A1333"/>
      <c r="B1333"/>
      <c r="C1333"/>
    </row>
    <row r="1334" spans="1:3" x14ac:dyDescent="0.2">
      <c r="A1334"/>
      <c r="B1334"/>
      <c r="C1334"/>
    </row>
    <row r="1335" spans="1:3" x14ac:dyDescent="0.2">
      <c r="A1335"/>
      <c r="B1335"/>
      <c r="C1335"/>
    </row>
    <row r="1336" spans="1:3" x14ac:dyDescent="0.2">
      <c r="A1336"/>
      <c r="B1336"/>
      <c r="C1336"/>
    </row>
    <row r="1337" spans="1:3" x14ac:dyDescent="0.2">
      <c r="A1337"/>
      <c r="B1337"/>
      <c r="C1337"/>
    </row>
    <row r="1338" spans="1:3" x14ac:dyDescent="0.2">
      <c r="A1338"/>
      <c r="B1338"/>
      <c r="C1338"/>
    </row>
    <row r="1339" spans="1:3" x14ac:dyDescent="0.2">
      <c r="A1339"/>
      <c r="B1339"/>
      <c r="C1339"/>
    </row>
    <row r="1340" spans="1:3" x14ac:dyDescent="0.2">
      <c r="A1340"/>
      <c r="B1340"/>
      <c r="C1340"/>
    </row>
    <row r="1341" spans="1:3" x14ac:dyDescent="0.2">
      <c r="A1341"/>
      <c r="B1341"/>
      <c r="C1341"/>
    </row>
    <row r="1342" spans="1:3" x14ac:dyDescent="0.2">
      <c r="A1342"/>
      <c r="B1342"/>
      <c r="C1342"/>
    </row>
    <row r="1343" spans="1:3" x14ac:dyDescent="0.2">
      <c r="A1343"/>
      <c r="B1343"/>
      <c r="C1343"/>
    </row>
    <row r="1344" spans="1:3" x14ac:dyDescent="0.2">
      <c r="A1344"/>
      <c r="B1344"/>
      <c r="C1344"/>
    </row>
    <row r="1345" spans="1:3" x14ac:dyDescent="0.2">
      <c r="A1345"/>
      <c r="B1345"/>
      <c r="C1345"/>
    </row>
    <row r="1346" spans="1:3" x14ac:dyDescent="0.2">
      <c r="A1346"/>
      <c r="B1346"/>
      <c r="C1346"/>
    </row>
    <row r="1347" spans="1:3" x14ac:dyDescent="0.2">
      <c r="A1347"/>
      <c r="B1347"/>
      <c r="C1347"/>
    </row>
    <row r="1348" spans="1:3" x14ac:dyDescent="0.2">
      <c r="A1348"/>
      <c r="B1348"/>
      <c r="C1348"/>
    </row>
    <row r="1349" spans="1:3" x14ac:dyDescent="0.2">
      <c r="A1349"/>
      <c r="B1349"/>
      <c r="C1349"/>
    </row>
    <row r="1350" spans="1:3" x14ac:dyDescent="0.2">
      <c r="A1350"/>
      <c r="B1350"/>
      <c r="C1350"/>
    </row>
    <row r="1351" spans="1:3" x14ac:dyDescent="0.2">
      <c r="A1351"/>
      <c r="B1351"/>
      <c r="C1351"/>
    </row>
    <row r="1352" spans="1:3" x14ac:dyDescent="0.2">
      <c r="A1352"/>
      <c r="B1352"/>
      <c r="C1352"/>
    </row>
    <row r="1353" spans="1:3" x14ac:dyDescent="0.2">
      <c r="A1353"/>
      <c r="B1353"/>
      <c r="C1353"/>
    </row>
    <row r="1354" spans="1:3" x14ac:dyDescent="0.2">
      <c r="A1354"/>
      <c r="B1354"/>
      <c r="C1354"/>
    </row>
    <row r="1355" spans="1:3" x14ac:dyDescent="0.2">
      <c r="A1355"/>
      <c r="B1355"/>
      <c r="C1355"/>
    </row>
    <row r="1356" spans="1:3" x14ac:dyDescent="0.2">
      <c r="A1356"/>
      <c r="B1356"/>
      <c r="C1356"/>
    </row>
    <row r="1357" spans="1:3" x14ac:dyDescent="0.2">
      <c r="A1357"/>
      <c r="B1357"/>
      <c r="C1357"/>
    </row>
    <row r="1358" spans="1:3" x14ac:dyDescent="0.2">
      <c r="A1358"/>
      <c r="B1358"/>
      <c r="C1358"/>
    </row>
    <row r="1359" spans="1:3" x14ac:dyDescent="0.2">
      <c r="A1359"/>
      <c r="B1359"/>
      <c r="C1359"/>
    </row>
    <row r="1360" spans="1:3" x14ac:dyDescent="0.2">
      <c r="A1360"/>
      <c r="B1360"/>
      <c r="C1360"/>
    </row>
    <row r="1361" spans="1:3" x14ac:dyDescent="0.2">
      <c r="A1361"/>
      <c r="B1361"/>
      <c r="C1361"/>
    </row>
    <row r="1362" spans="1:3" x14ac:dyDescent="0.2">
      <c r="A1362"/>
      <c r="B1362"/>
      <c r="C1362"/>
    </row>
    <row r="1363" spans="1:3" x14ac:dyDescent="0.2">
      <c r="A1363"/>
      <c r="B1363"/>
      <c r="C1363"/>
    </row>
    <row r="1364" spans="1:3" x14ac:dyDescent="0.2">
      <c r="A1364"/>
      <c r="B1364"/>
      <c r="C1364"/>
    </row>
    <row r="1365" spans="1:3" x14ac:dyDescent="0.2">
      <c r="A1365"/>
      <c r="B1365"/>
      <c r="C1365"/>
    </row>
    <row r="1366" spans="1:3" x14ac:dyDescent="0.2">
      <c r="A1366"/>
      <c r="B1366"/>
      <c r="C1366"/>
    </row>
    <row r="1367" spans="1:3" x14ac:dyDescent="0.2">
      <c r="A1367"/>
      <c r="B1367"/>
      <c r="C1367"/>
    </row>
    <row r="1368" spans="1:3" x14ac:dyDescent="0.2">
      <c r="A1368"/>
      <c r="B1368"/>
      <c r="C1368"/>
    </row>
    <row r="1369" spans="1:3" x14ac:dyDescent="0.2">
      <c r="A1369"/>
      <c r="B1369"/>
      <c r="C1369"/>
    </row>
    <row r="1370" spans="1:3" x14ac:dyDescent="0.2">
      <c r="A1370"/>
      <c r="B1370"/>
      <c r="C1370"/>
    </row>
    <row r="1371" spans="1:3" x14ac:dyDescent="0.2">
      <c r="A1371"/>
      <c r="B1371"/>
      <c r="C1371"/>
    </row>
    <row r="1372" spans="1:3" x14ac:dyDescent="0.2">
      <c r="A1372"/>
      <c r="B1372"/>
      <c r="C1372"/>
    </row>
    <row r="1373" spans="1:3" x14ac:dyDescent="0.2">
      <c r="A1373"/>
      <c r="B1373"/>
      <c r="C1373"/>
    </row>
    <row r="1374" spans="1:3" x14ac:dyDescent="0.2">
      <c r="A1374"/>
      <c r="B1374"/>
      <c r="C1374"/>
    </row>
    <row r="1375" spans="1:3" x14ac:dyDescent="0.2">
      <c r="A1375"/>
      <c r="B1375"/>
      <c r="C1375"/>
    </row>
    <row r="1376" spans="1:3" x14ac:dyDescent="0.2">
      <c r="A1376"/>
      <c r="B1376"/>
      <c r="C1376"/>
    </row>
    <row r="1377" spans="1:3" x14ac:dyDescent="0.2">
      <c r="A1377"/>
      <c r="B1377"/>
      <c r="C1377"/>
    </row>
    <row r="1378" spans="1:3" x14ac:dyDescent="0.2">
      <c r="A1378"/>
      <c r="B1378"/>
      <c r="C1378"/>
    </row>
    <row r="1379" spans="1:3" x14ac:dyDescent="0.2">
      <c r="A1379"/>
      <c r="B1379"/>
      <c r="C1379"/>
    </row>
    <row r="1380" spans="1:3" x14ac:dyDescent="0.2">
      <c r="A1380"/>
      <c r="B1380"/>
      <c r="C1380"/>
    </row>
    <row r="1381" spans="1:3" x14ac:dyDescent="0.2">
      <c r="A1381"/>
      <c r="B1381"/>
      <c r="C1381"/>
    </row>
    <row r="1382" spans="1:3" x14ac:dyDescent="0.2">
      <c r="A1382"/>
      <c r="B1382"/>
      <c r="C1382"/>
    </row>
    <row r="1383" spans="1:3" x14ac:dyDescent="0.2">
      <c r="A1383"/>
      <c r="B1383"/>
      <c r="C1383"/>
    </row>
    <row r="1384" spans="1:3" x14ac:dyDescent="0.2">
      <c r="A1384"/>
      <c r="B1384"/>
      <c r="C1384"/>
    </row>
    <row r="1385" spans="1:3" x14ac:dyDescent="0.2">
      <c r="A1385"/>
      <c r="B1385"/>
      <c r="C1385"/>
    </row>
    <row r="1386" spans="1:3" x14ac:dyDescent="0.2">
      <c r="A1386"/>
      <c r="B1386"/>
      <c r="C1386"/>
    </row>
    <row r="1387" spans="1:3" x14ac:dyDescent="0.2">
      <c r="A1387"/>
      <c r="B1387"/>
      <c r="C1387"/>
    </row>
    <row r="1388" spans="1:3" x14ac:dyDescent="0.2">
      <c r="A1388"/>
      <c r="B1388"/>
      <c r="C1388"/>
    </row>
    <row r="1389" spans="1:3" x14ac:dyDescent="0.2">
      <c r="A1389"/>
      <c r="B1389"/>
      <c r="C1389"/>
    </row>
    <row r="1390" spans="1:3" x14ac:dyDescent="0.2">
      <c r="A1390"/>
      <c r="B1390"/>
      <c r="C1390"/>
    </row>
    <row r="1391" spans="1:3" x14ac:dyDescent="0.2">
      <c r="A1391"/>
      <c r="B1391"/>
      <c r="C1391"/>
    </row>
    <row r="1392" spans="1:3" x14ac:dyDescent="0.2">
      <c r="A1392"/>
      <c r="B1392"/>
      <c r="C1392"/>
    </row>
    <row r="1393" spans="1:3" x14ac:dyDescent="0.2">
      <c r="A1393"/>
      <c r="B1393"/>
      <c r="C1393"/>
    </row>
    <row r="1394" spans="1:3" x14ac:dyDescent="0.2">
      <c r="A1394"/>
      <c r="B1394"/>
      <c r="C1394"/>
    </row>
    <row r="1395" spans="1:3" x14ac:dyDescent="0.2">
      <c r="A1395"/>
      <c r="B1395"/>
      <c r="C1395"/>
    </row>
    <row r="1396" spans="1:3" x14ac:dyDescent="0.2">
      <c r="A1396"/>
      <c r="B1396"/>
      <c r="C1396"/>
    </row>
    <row r="1397" spans="1:3" x14ac:dyDescent="0.2">
      <c r="A1397"/>
      <c r="B1397"/>
      <c r="C1397"/>
    </row>
    <row r="1398" spans="1:3" x14ac:dyDescent="0.2">
      <c r="A1398"/>
      <c r="B1398"/>
      <c r="C1398"/>
    </row>
    <row r="1399" spans="1:3" x14ac:dyDescent="0.2">
      <c r="A1399"/>
      <c r="B1399"/>
      <c r="C1399"/>
    </row>
    <row r="1400" spans="1:3" x14ac:dyDescent="0.2">
      <c r="A1400"/>
      <c r="B1400"/>
      <c r="C1400"/>
    </row>
    <row r="1401" spans="1:3" x14ac:dyDescent="0.2">
      <c r="A1401"/>
      <c r="B1401"/>
      <c r="C1401"/>
    </row>
    <row r="1402" spans="1:3" x14ac:dyDescent="0.2">
      <c r="A1402"/>
      <c r="B1402"/>
      <c r="C1402"/>
    </row>
    <row r="1403" spans="1:3" x14ac:dyDescent="0.2">
      <c r="A1403"/>
      <c r="B1403"/>
      <c r="C1403"/>
    </row>
    <row r="1404" spans="1:3" x14ac:dyDescent="0.2">
      <c r="A1404"/>
      <c r="B1404"/>
      <c r="C1404"/>
    </row>
    <row r="1405" spans="1:3" x14ac:dyDescent="0.2">
      <c r="A1405"/>
      <c r="B1405"/>
      <c r="C1405"/>
    </row>
    <row r="1406" spans="1:3" x14ac:dyDescent="0.2">
      <c r="A1406"/>
      <c r="B1406"/>
      <c r="C1406"/>
    </row>
    <row r="1407" spans="1:3" x14ac:dyDescent="0.2">
      <c r="A1407"/>
      <c r="B1407"/>
      <c r="C1407"/>
    </row>
    <row r="1408" spans="1:3" x14ac:dyDescent="0.2">
      <c r="A1408"/>
      <c r="B1408"/>
      <c r="C1408"/>
    </row>
    <row r="1409" spans="1:3" x14ac:dyDescent="0.2">
      <c r="A1409"/>
      <c r="B1409"/>
      <c r="C1409"/>
    </row>
    <row r="1410" spans="1:3" x14ac:dyDescent="0.2">
      <c r="A1410"/>
      <c r="B1410"/>
      <c r="C1410"/>
    </row>
    <row r="1411" spans="1:3" x14ac:dyDescent="0.2">
      <c r="A1411"/>
      <c r="B1411"/>
      <c r="C1411"/>
    </row>
    <row r="1412" spans="1:3" x14ac:dyDescent="0.2">
      <c r="A1412"/>
      <c r="B1412"/>
      <c r="C1412"/>
    </row>
    <row r="1413" spans="1:3" x14ac:dyDescent="0.2">
      <c r="A1413"/>
      <c r="B1413"/>
      <c r="C1413"/>
    </row>
    <row r="1414" spans="1:3" x14ac:dyDescent="0.2">
      <c r="A1414"/>
      <c r="B1414"/>
      <c r="C1414"/>
    </row>
    <row r="1415" spans="1:3" x14ac:dyDescent="0.2">
      <c r="A1415"/>
      <c r="B1415"/>
      <c r="C1415"/>
    </row>
    <row r="1416" spans="1:3" x14ac:dyDescent="0.2">
      <c r="A1416"/>
      <c r="B1416"/>
      <c r="C1416"/>
    </row>
    <row r="1417" spans="1:3" x14ac:dyDescent="0.2">
      <c r="A1417"/>
      <c r="B1417"/>
      <c r="C1417"/>
    </row>
    <row r="1418" spans="1:3" x14ac:dyDescent="0.2">
      <c r="A1418"/>
      <c r="B1418"/>
      <c r="C1418"/>
    </row>
    <row r="1419" spans="1:3" x14ac:dyDescent="0.2">
      <c r="A1419"/>
      <c r="B1419"/>
      <c r="C1419"/>
    </row>
    <row r="1420" spans="1:3" x14ac:dyDescent="0.2">
      <c r="A1420"/>
      <c r="B1420"/>
      <c r="C1420"/>
    </row>
    <row r="1421" spans="1:3" x14ac:dyDescent="0.2">
      <c r="A1421"/>
      <c r="B1421"/>
      <c r="C1421"/>
    </row>
    <row r="1422" spans="1:3" x14ac:dyDescent="0.2">
      <c r="A1422"/>
      <c r="B1422"/>
      <c r="C1422"/>
    </row>
    <row r="1423" spans="1:3" x14ac:dyDescent="0.2">
      <c r="A1423"/>
      <c r="B1423"/>
      <c r="C1423"/>
    </row>
    <row r="1424" spans="1:3" x14ac:dyDescent="0.2">
      <c r="A1424"/>
      <c r="B1424"/>
      <c r="C1424"/>
    </row>
    <row r="1425" spans="1:3" x14ac:dyDescent="0.2">
      <c r="A1425"/>
      <c r="B1425"/>
      <c r="C1425"/>
    </row>
    <row r="1426" spans="1:3" x14ac:dyDescent="0.2">
      <c r="A1426"/>
      <c r="B1426"/>
      <c r="C1426"/>
    </row>
    <row r="1427" spans="1:3" x14ac:dyDescent="0.2">
      <c r="A1427"/>
      <c r="B1427"/>
      <c r="C1427"/>
    </row>
    <row r="1428" spans="1:3" x14ac:dyDescent="0.2">
      <c r="A1428"/>
      <c r="B1428"/>
      <c r="C1428"/>
    </row>
    <row r="1429" spans="1:3" x14ac:dyDescent="0.2">
      <c r="A1429"/>
      <c r="B1429"/>
      <c r="C1429"/>
    </row>
    <row r="1430" spans="1:3" x14ac:dyDescent="0.2">
      <c r="A1430"/>
      <c r="B1430"/>
      <c r="C1430"/>
    </row>
    <row r="1431" spans="1:3" x14ac:dyDescent="0.2">
      <c r="A1431"/>
      <c r="B1431"/>
      <c r="C1431"/>
    </row>
    <row r="1432" spans="1:3" x14ac:dyDescent="0.2">
      <c r="A1432"/>
      <c r="B1432"/>
      <c r="C1432"/>
    </row>
    <row r="1433" spans="1:3" x14ac:dyDescent="0.2">
      <c r="A1433"/>
      <c r="B1433"/>
      <c r="C1433"/>
    </row>
    <row r="1434" spans="1:3" x14ac:dyDescent="0.2">
      <c r="A1434"/>
      <c r="B1434"/>
      <c r="C1434"/>
    </row>
    <row r="1435" spans="1:3" x14ac:dyDescent="0.2">
      <c r="A1435"/>
      <c r="B1435"/>
      <c r="C1435"/>
    </row>
    <row r="1436" spans="1:3" x14ac:dyDescent="0.2">
      <c r="A1436"/>
      <c r="B1436"/>
      <c r="C1436"/>
    </row>
    <row r="1437" spans="1:3" x14ac:dyDescent="0.2">
      <c r="A1437"/>
      <c r="B1437"/>
      <c r="C1437"/>
    </row>
    <row r="1438" spans="1:3" x14ac:dyDescent="0.2">
      <c r="A1438"/>
      <c r="B1438"/>
      <c r="C1438"/>
    </row>
    <row r="1439" spans="1:3" x14ac:dyDescent="0.2">
      <c r="A1439"/>
      <c r="B1439"/>
      <c r="C1439"/>
    </row>
    <row r="1440" spans="1:3" x14ac:dyDescent="0.2">
      <c r="A1440"/>
      <c r="B1440"/>
      <c r="C1440"/>
    </row>
    <row r="1441" spans="1:3" x14ac:dyDescent="0.2">
      <c r="A1441"/>
      <c r="B1441"/>
      <c r="C1441"/>
    </row>
    <row r="1442" spans="1:3" x14ac:dyDescent="0.2">
      <c r="A1442"/>
      <c r="B1442"/>
      <c r="C1442"/>
    </row>
    <row r="1443" spans="1:3" x14ac:dyDescent="0.2">
      <c r="A1443"/>
      <c r="B1443"/>
      <c r="C1443"/>
    </row>
    <row r="1444" spans="1:3" x14ac:dyDescent="0.2">
      <c r="A1444"/>
      <c r="B1444"/>
      <c r="C1444"/>
    </row>
    <row r="1445" spans="1:3" x14ac:dyDescent="0.2">
      <c r="A1445"/>
      <c r="B1445"/>
      <c r="C1445"/>
    </row>
    <row r="1446" spans="1:3" x14ac:dyDescent="0.2">
      <c r="A1446"/>
      <c r="B1446"/>
      <c r="C1446"/>
    </row>
    <row r="1447" spans="1:3" x14ac:dyDescent="0.2">
      <c r="A1447"/>
      <c r="B1447"/>
      <c r="C1447"/>
    </row>
    <row r="1448" spans="1:3" x14ac:dyDescent="0.2">
      <c r="A1448"/>
      <c r="B1448"/>
      <c r="C1448"/>
    </row>
    <row r="1449" spans="1:3" x14ac:dyDescent="0.2">
      <c r="A1449"/>
      <c r="B1449"/>
      <c r="C1449"/>
    </row>
    <row r="1450" spans="1:3" x14ac:dyDescent="0.2">
      <c r="A1450"/>
      <c r="B1450"/>
      <c r="C1450"/>
    </row>
    <row r="1451" spans="1:3" x14ac:dyDescent="0.2">
      <c r="A1451"/>
      <c r="B1451"/>
      <c r="C1451"/>
    </row>
    <row r="1452" spans="1:3" x14ac:dyDescent="0.2">
      <c r="A1452"/>
      <c r="B1452"/>
      <c r="C1452"/>
    </row>
    <row r="1453" spans="1:3" x14ac:dyDescent="0.2">
      <c r="A1453"/>
      <c r="B1453"/>
      <c r="C1453"/>
    </row>
    <row r="1454" spans="1:3" x14ac:dyDescent="0.2">
      <c r="A1454"/>
      <c r="B1454"/>
      <c r="C1454"/>
    </row>
    <row r="1455" spans="1:3" x14ac:dyDescent="0.2">
      <c r="A1455"/>
      <c r="B1455"/>
      <c r="C1455"/>
    </row>
    <row r="1456" spans="1:3" x14ac:dyDescent="0.2">
      <c r="A1456"/>
      <c r="B1456"/>
      <c r="C1456"/>
    </row>
    <row r="1457" spans="1:3" x14ac:dyDescent="0.2">
      <c r="A1457"/>
      <c r="B1457"/>
      <c r="C1457"/>
    </row>
    <row r="1458" spans="1:3" x14ac:dyDescent="0.2">
      <c r="A1458"/>
      <c r="B1458"/>
      <c r="C1458"/>
    </row>
    <row r="1459" spans="1:3" x14ac:dyDescent="0.2">
      <c r="A1459"/>
      <c r="B1459"/>
      <c r="C1459"/>
    </row>
    <row r="1460" spans="1:3" x14ac:dyDescent="0.2">
      <c r="A1460"/>
      <c r="B1460"/>
      <c r="C1460"/>
    </row>
    <row r="1461" spans="1:3" x14ac:dyDescent="0.2">
      <c r="A1461"/>
      <c r="B1461"/>
      <c r="C1461"/>
    </row>
    <row r="1462" spans="1:3" x14ac:dyDescent="0.2">
      <c r="A1462"/>
      <c r="B1462"/>
      <c r="C1462"/>
    </row>
    <row r="1463" spans="1:3" x14ac:dyDescent="0.2">
      <c r="A1463"/>
      <c r="B1463"/>
      <c r="C1463"/>
    </row>
    <row r="1464" spans="1:3" x14ac:dyDescent="0.2">
      <c r="A1464"/>
      <c r="B1464"/>
      <c r="C1464"/>
    </row>
    <row r="1465" spans="1:3" x14ac:dyDescent="0.2">
      <c r="A1465"/>
      <c r="B1465"/>
      <c r="C1465"/>
    </row>
    <row r="1466" spans="1:3" x14ac:dyDescent="0.2">
      <c r="A1466"/>
      <c r="B1466"/>
      <c r="C1466"/>
    </row>
    <row r="1467" spans="1:3" x14ac:dyDescent="0.2">
      <c r="A1467"/>
      <c r="B1467"/>
      <c r="C1467"/>
    </row>
    <row r="1468" spans="1:3" x14ac:dyDescent="0.2">
      <c r="A1468"/>
      <c r="B1468"/>
      <c r="C1468"/>
    </row>
    <row r="1469" spans="1:3" x14ac:dyDescent="0.2">
      <c r="A1469"/>
      <c r="B1469"/>
      <c r="C1469"/>
    </row>
    <row r="1470" spans="1:3" x14ac:dyDescent="0.2">
      <c r="A1470"/>
      <c r="B1470"/>
      <c r="C1470"/>
    </row>
    <row r="1471" spans="1:3" x14ac:dyDescent="0.2">
      <c r="A1471"/>
      <c r="B1471"/>
      <c r="C1471"/>
    </row>
    <row r="1472" spans="1:3" x14ac:dyDescent="0.2">
      <c r="A1472"/>
      <c r="B1472"/>
      <c r="C1472"/>
    </row>
    <row r="1473" spans="1:3" x14ac:dyDescent="0.2">
      <c r="A1473"/>
      <c r="B1473"/>
      <c r="C1473"/>
    </row>
    <row r="1474" spans="1:3" x14ac:dyDescent="0.2">
      <c r="A1474"/>
      <c r="B1474"/>
      <c r="C1474"/>
    </row>
    <row r="1475" spans="1:3" x14ac:dyDescent="0.2">
      <c r="A1475"/>
      <c r="B1475"/>
      <c r="C1475"/>
    </row>
    <row r="1476" spans="1:3" x14ac:dyDescent="0.2">
      <c r="A1476"/>
      <c r="B1476"/>
      <c r="C1476"/>
    </row>
    <row r="1477" spans="1:3" x14ac:dyDescent="0.2">
      <c r="A1477"/>
      <c r="B1477"/>
      <c r="C1477"/>
    </row>
    <row r="1478" spans="1:3" x14ac:dyDescent="0.2">
      <c r="A1478"/>
      <c r="B1478"/>
      <c r="C1478"/>
    </row>
    <row r="1479" spans="1:3" x14ac:dyDescent="0.2">
      <c r="A1479"/>
      <c r="B1479"/>
      <c r="C1479"/>
    </row>
    <row r="1480" spans="1:3" x14ac:dyDescent="0.2">
      <c r="A1480"/>
      <c r="B1480"/>
      <c r="C1480"/>
    </row>
    <row r="1481" spans="1:3" x14ac:dyDescent="0.2">
      <c r="A1481"/>
      <c r="B1481"/>
      <c r="C1481"/>
    </row>
  </sheetData>
  <sortState ref="A3:A15">
    <sortCondition ref="A2"/>
  </sortState>
  <dataValidations count="2">
    <dataValidation type="list" allowBlank="1" showInputMessage="1" showErrorMessage="1" sqref="F10">
      <formula1>Usuario</formula1>
    </dataValidation>
    <dataValidation type="list" allowBlank="1" showInputMessage="1" showErrorMessage="1" sqref="G10">
      <formula1>INDIRECT($F$10)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"/>
  <sheetViews>
    <sheetView topLeftCell="A2"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10</vt:i4>
      </vt:variant>
    </vt:vector>
  </HeadingPairs>
  <TitlesOfParts>
    <vt:vector size="24" baseType="lpstr">
      <vt:lpstr>SQUASH</vt:lpstr>
      <vt:lpstr>TENIS MESA</vt:lpstr>
      <vt:lpstr>Hoja7</vt:lpstr>
      <vt:lpstr>FUTBOL 5</vt:lpstr>
      <vt:lpstr>LEYENDA</vt:lpstr>
      <vt:lpstr>Hoja1</vt:lpstr>
      <vt:lpstr>Hoja2</vt:lpstr>
      <vt:lpstr>Hoja3</vt:lpstr>
      <vt:lpstr>Hoja4</vt:lpstr>
      <vt:lpstr>Hoja5</vt:lpstr>
      <vt:lpstr>Hoja6</vt:lpstr>
      <vt:lpstr>INFORME MENSUAL INGRESOS</vt:lpstr>
      <vt:lpstr>INGRESO DIARIO</vt:lpstr>
      <vt:lpstr>INGRESO MENSUAL</vt:lpstr>
      <vt:lpstr>ADULTO_MAYOR</vt:lpstr>
      <vt:lpstr>CLASIFICACION1</vt:lpstr>
      <vt:lpstr>Curso_squash</vt:lpstr>
      <vt:lpstr>egresado_ucm</vt:lpstr>
      <vt:lpstr>ESTUDIANTE_EXTERNO</vt:lpstr>
      <vt:lpstr>Estudiante_ucm</vt:lpstr>
      <vt:lpstr>Estudianteucm</vt:lpstr>
      <vt:lpstr>Particular_paquete</vt:lpstr>
      <vt:lpstr>TARIFAS_ESPECIALES</vt:lpstr>
      <vt:lpstr>Usuario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nuevo</dc:creator>
  <cp:lastModifiedBy>Administrador</cp:lastModifiedBy>
  <cp:lastPrinted>2015-02-13T13:45:57Z</cp:lastPrinted>
  <dcterms:created xsi:type="dcterms:W3CDTF">2009-08-01T12:59:58Z</dcterms:created>
  <dcterms:modified xsi:type="dcterms:W3CDTF">2017-08-11T14:51:29Z</dcterms:modified>
</cp:coreProperties>
</file>